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Прайс" sheetId="1" r:id="rId1"/>
  </sheets>
  <definedNames>
    <definedName name="_xlnm.Print_Area" localSheetId="0">'Прайс'!$A$1:$K$589</definedName>
  </definedNames>
  <calcPr fullCalcOnLoad="1"/>
</workbook>
</file>

<file path=xl/sharedStrings.xml><?xml version="1.0" encoding="utf-8"?>
<sst xmlns="http://schemas.openxmlformats.org/spreadsheetml/2006/main" count="1410" uniqueCount="509">
  <si>
    <t>ООО "ВОЛГА  и  Ко"</t>
  </si>
  <si>
    <t>(4852) 55-22-24, 55-36-20, 55-19-64</t>
  </si>
  <si>
    <t xml:space="preserve">  66-01-47(48), 55-35-95</t>
  </si>
  <si>
    <t>150044, г. Ярославль, ул. Механизаторов, 10</t>
  </si>
  <si>
    <t>Труба бесшовная 273 (325)*8 по цене 38.990 р/т</t>
  </si>
  <si>
    <t xml:space="preserve"> Наименование</t>
  </si>
  <si>
    <t>Резка,</t>
  </si>
  <si>
    <t>Марка стали</t>
  </si>
  <si>
    <t>Размер,</t>
  </si>
  <si>
    <t>Вес п/м,</t>
  </si>
  <si>
    <t>Вес 1 шт.,</t>
  </si>
  <si>
    <t>Цена за шт,</t>
  </si>
  <si>
    <t>Цена за тн с учетом НДС</t>
  </si>
  <si>
    <t>Примечания</t>
  </si>
  <si>
    <t>руб.</t>
  </si>
  <si>
    <t>м.</t>
  </si>
  <si>
    <t>кг.</t>
  </si>
  <si>
    <t>менее 1 т</t>
  </si>
  <si>
    <t>от 1 до 5 т</t>
  </si>
  <si>
    <t>Трубы водогазопроводные ГОСТ 3262-75</t>
  </si>
  <si>
    <t>Труба ф 15*2,8</t>
  </si>
  <si>
    <t>КТЗ</t>
  </si>
  <si>
    <t xml:space="preserve">Труба ф 20*2,8 </t>
  </si>
  <si>
    <t>Труба ф 25*3,2</t>
  </si>
  <si>
    <t>Труба ф 32*3,2</t>
  </si>
  <si>
    <t>Труба ф 40*3,5</t>
  </si>
  <si>
    <t>Труба ф 50*3,5</t>
  </si>
  <si>
    <t>Труба ф 50*3,5 неконд.</t>
  </si>
  <si>
    <t>непровар шва</t>
  </si>
  <si>
    <t>Трубы водогазопроводные оцинкованные ГОСТ 3262-75</t>
  </si>
  <si>
    <t>2 пс</t>
  </si>
  <si>
    <t>в пути</t>
  </si>
  <si>
    <t>Трубы электросварные оцинкованные ГОСТ 10704-91, 10705-80</t>
  </si>
  <si>
    <t>Труба ф 57*3,5</t>
  </si>
  <si>
    <t>3 пс</t>
  </si>
  <si>
    <t>Труба ф 76*3,5</t>
  </si>
  <si>
    <t>Труба ф 89*3,5</t>
  </si>
  <si>
    <t>Труба ф 108*3,5</t>
  </si>
  <si>
    <t>Труба ф 108*4</t>
  </si>
  <si>
    <t>Труба ф 133*4,5</t>
  </si>
  <si>
    <t>Труба ф 159*4,5</t>
  </si>
  <si>
    <t>Трубы электросварные ГОСТ 10704-91, 10705-80</t>
  </si>
  <si>
    <t>Труба ф 28*2</t>
  </si>
  <si>
    <t>ТУ</t>
  </si>
  <si>
    <t>Труба ф 32*2</t>
  </si>
  <si>
    <t>Труба ф 45*2</t>
  </si>
  <si>
    <t>Труба ф 57*3,5 неконд</t>
  </si>
  <si>
    <t>Труба ф 60*3,5</t>
  </si>
  <si>
    <t>немер.</t>
  </si>
  <si>
    <t>б.у.</t>
  </si>
  <si>
    <t>Труба ф 76*3,0 неконд</t>
  </si>
  <si>
    <t>группа Д</t>
  </si>
  <si>
    <t>Труба ф 73*5,5</t>
  </si>
  <si>
    <t>10,5</t>
  </si>
  <si>
    <t>Труба ф 76*4 б.у.</t>
  </si>
  <si>
    <t>Труба ф 89*3,5 неконд</t>
  </si>
  <si>
    <t>6</t>
  </si>
  <si>
    <t>Труба ф 108*4 неконд</t>
  </si>
  <si>
    <t>11,4</t>
  </si>
  <si>
    <t>Труба ф 133*4,0</t>
  </si>
  <si>
    <t>3 сп</t>
  </si>
  <si>
    <t>Труба ф 133*5</t>
  </si>
  <si>
    <t>4 сп</t>
  </si>
  <si>
    <r>
      <rPr>
        <b/>
        <sz val="9"/>
        <rFont val="Times New Roman"/>
        <family val="1"/>
      </rPr>
      <t>Труба ф 159*</t>
    </r>
    <r>
      <rPr>
        <b/>
        <i/>
        <sz val="9"/>
        <rFont val="Times New Roman"/>
        <family val="1"/>
      </rPr>
      <t>3,5</t>
    </r>
  </si>
  <si>
    <t>Труба ф 219*5</t>
  </si>
  <si>
    <t>11,69</t>
  </si>
  <si>
    <t>Труба ф 219*6</t>
  </si>
  <si>
    <t>11,6</t>
  </si>
  <si>
    <t>Труба ф 219*7</t>
  </si>
  <si>
    <t>Труба ф 273*5</t>
  </si>
  <si>
    <t>5,8</t>
  </si>
  <si>
    <t>Труба ф 273*6</t>
  </si>
  <si>
    <t>Труба ф 273*7</t>
  </si>
  <si>
    <t>Труба ф 273*8</t>
  </si>
  <si>
    <t>Труба ф 325*6</t>
  </si>
  <si>
    <t>Труба ф 325*8 б/у</t>
  </si>
  <si>
    <t>Труба ф 426*6</t>
  </si>
  <si>
    <t>11,68</t>
  </si>
  <si>
    <t>Труба ф 426*7</t>
  </si>
  <si>
    <t>Труба ф 426*8</t>
  </si>
  <si>
    <t>11,65</t>
  </si>
  <si>
    <t>Труба ф 426*9</t>
  </si>
  <si>
    <t>Труба ф 426*10</t>
  </si>
  <si>
    <t>Трубы  профильные ГОСТ 8639-82, 8645-68</t>
  </si>
  <si>
    <t>Труба 15*15*1,5</t>
  </si>
  <si>
    <t>3 ПС</t>
  </si>
  <si>
    <t>Труба 20*20*1,5</t>
  </si>
  <si>
    <t>3 СП</t>
  </si>
  <si>
    <t>с налетом</t>
  </si>
  <si>
    <t>Труба 20*20*2,0</t>
  </si>
  <si>
    <t>Труба 25*25*1,5</t>
  </si>
  <si>
    <t>Труба 25*25*2,0</t>
  </si>
  <si>
    <t>Труба 28*25*2,0</t>
  </si>
  <si>
    <t>Труба 30*30*2,0</t>
  </si>
  <si>
    <t>2 ПС</t>
  </si>
  <si>
    <t>Труба 40*20*1,5</t>
  </si>
  <si>
    <t>Труба 40*20*2,0</t>
  </si>
  <si>
    <t>Труба 40*25*1,5</t>
  </si>
  <si>
    <t>Труба 40*25*2,0 неконд</t>
  </si>
  <si>
    <t>некондиция</t>
  </si>
  <si>
    <t>Труба 40*25*2,0</t>
  </si>
  <si>
    <t>Труба 40*28*2,5</t>
  </si>
  <si>
    <t>Труба 40*40*1,5</t>
  </si>
  <si>
    <t>Труба 40*40*2</t>
  </si>
  <si>
    <t>Труба 40*40*4</t>
  </si>
  <si>
    <t>Труба 50*25*1,5</t>
  </si>
  <si>
    <t>Труба 50*25*2</t>
  </si>
  <si>
    <t>Труба 50*50*2</t>
  </si>
  <si>
    <t>Труба 50*50*2 неконд.</t>
  </si>
  <si>
    <t>Труба 50*50*4</t>
  </si>
  <si>
    <t>Труба 60*30*1,5</t>
  </si>
  <si>
    <t>Труба 60*30*2</t>
  </si>
  <si>
    <t>Труба 60*30*3</t>
  </si>
  <si>
    <t>Труба 60*40*2</t>
  </si>
  <si>
    <t>Труба 60*40*4</t>
  </si>
  <si>
    <t>Труба 60*60*2 неконд</t>
  </si>
  <si>
    <t>Труба 60*60*2</t>
  </si>
  <si>
    <t>Труба 60*60*3</t>
  </si>
  <si>
    <t>Труба 60*60*4</t>
  </si>
  <si>
    <t>Труба 80*40*2</t>
  </si>
  <si>
    <t>Труба 80*40*3</t>
  </si>
  <si>
    <t>Труба 80*40*4</t>
  </si>
  <si>
    <t>Труба 80*80*3 неконд</t>
  </si>
  <si>
    <t>Труба 80*80*3</t>
  </si>
  <si>
    <t>Труба 80*80*4 неконд</t>
  </si>
  <si>
    <t>Труба 80*80*4</t>
  </si>
  <si>
    <t>Труба 80*80*5</t>
  </si>
  <si>
    <t>Труба 80*80*6</t>
  </si>
  <si>
    <t>Труба 100*50*3</t>
  </si>
  <si>
    <t>Труба 100*100*3 неконд</t>
  </si>
  <si>
    <t>Труба 100*100*4 неконд</t>
  </si>
  <si>
    <t>Труба 100*100*4</t>
  </si>
  <si>
    <t>Труба 120*60*4</t>
  </si>
  <si>
    <t>3 сп 5</t>
  </si>
  <si>
    <t>Труба 120*120*4 неконд</t>
  </si>
  <si>
    <t>Труба 120*120*5</t>
  </si>
  <si>
    <t>Труба 120*120*6</t>
  </si>
  <si>
    <t>5</t>
  </si>
  <si>
    <t>Труба 140*140*4</t>
  </si>
  <si>
    <t>12</t>
  </si>
  <si>
    <t>Труба 140*140*6</t>
  </si>
  <si>
    <t>11,7</t>
  </si>
  <si>
    <t>Труба 150*100*6</t>
  </si>
  <si>
    <t>Труба 200*200*10</t>
  </si>
  <si>
    <t>Трубы бесшовные горячекатанные ГОСТ 8732-78, 8731-74</t>
  </si>
  <si>
    <t>Труба ф 16*3</t>
  </si>
  <si>
    <t>5,3</t>
  </si>
  <si>
    <t>8734-75</t>
  </si>
  <si>
    <t>Труба ф 25*3,5</t>
  </si>
  <si>
    <t>Труба ф 45*4</t>
  </si>
  <si>
    <t>Труба ф 45*5</t>
  </si>
  <si>
    <t>Труба ф 48*4</t>
  </si>
  <si>
    <t>Труба ф 50*6</t>
  </si>
  <si>
    <t>Труба ф 57*4</t>
  </si>
  <si>
    <t>Труба ф 57*5</t>
  </si>
  <si>
    <t>Труба ф 57*7</t>
  </si>
  <si>
    <t>Труба ф 89*4</t>
  </si>
  <si>
    <t>Труба ф 76*4</t>
  </si>
  <si>
    <t>6,5</t>
  </si>
  <si>
    <t>Труба ф 89*6</t>
  </si>
  <si>
    <t>2012 г.в.</t>
  </si>
  <si>
    <t>Труба ф 108*5</t>
  </si>
  <si>
    <t>Труба ф 108*6</t>
  </si>
  <si>
    <t>Труба ф 159*5</t>
  </si>
  <si>
    <t>Труба ф 159*6</t>
  </si>
  <si>
    <t>2013 г.в.</t>
  </si>
  <si>
    <t>Труба ф 159*7</t>
  </si>
  <si>
    <t>2014 г.в.</t>
  </si>
  <si>
    <t>Труба ф 273*9</t>
  </si>
  <si>
    <t>Труба ф 325*8</t>
  </si>
  <si>
    <t>Труба ф 377*9</t>
  </si>
  <si>
    <t>11,09</t>
  </si>
  <si>
    <t>6,17</t>
  </si>
  <si>
    <t>Лист х/к ГОСТ 16523-97</t>
  </si>
  <si>
    <t>Лист х/к 0,5 мм</t>
  </si>
  <si>
    <t>08 ПС</t>
  </si>
  <si>
    <t>1,25х2,5</t>
  </si>
  <si>
    <t>пачками</t>
  </si>
  <si>
    <t>1,0х2,0</t>
  </si>
  <si>
    <t>Лист х/к 0,55 мм</t>
  </si>
  <si>
    <t>Лист х/к 0,6 мм</t>
  </si>
  <si>
    <t>7 ПС</t>
  </si>
  <si>
    <t>Лист х/к 0,7 мм</t>
  </si>
  <si>
    <t>Лист х/к 0,8 мм</t>
  </si>
  <si>
    <t>Лист х/к 0,9 мм</t>
  </si>
  <si>
    <t>Лист х/к 1,0 мм</t>
  </si>
  <si>
    <t>Лист х/к 1,2 мм</t>
  </si>
  <si>
    <t>Лист х/к 1,5 мм</t>
  </si>
  <si>
    <t>Лист х/к 2,0 мм</t>
  </si>
  <si>
    <t>Лист х/к 2,5 мм</t>
  </si>
  <si>
    <t>Лист х/к 3,0 мм</t>
  </si>
  <si>
    <t>Лист г/к ГОСТ 16523-97, 14637-89</t>
  </si>
  <si>
    <t>Лист г/к 1,5 мм</t>
  </si>
  <si>
    <t>Лист г/к 1,8 мм</t>
  </si>
  <si>
    <t>Лист г/к 2,0 мм</t>
  </si>
  <si>
    <t>Лист г/к 2,5 мм</t>
  </si>
  <si>
    <t>Лист г/к 3,0 мм</t>
  </si>
  <si>
    <t>1,5х6,0</t>
  </si>
  <si>
    <t>Лист г/к 4,0 мм</t>
  </si>
  <si>
    <t>1,4х6,0</t>
  </si>
  <si>
    <t>Лист г/к 5,0 мм</t>
  </si>
  <si>
    <t>1,3х6,0</t>
  </si>
  <si>
    <t xml:space="preserve">Лист г/к 6,0 мм </t>
  </si>
  <si>
    <t>1,625х6,0</t>
  </si>
  <si>
    <t>1,75х6,0</t>
  </si>
  <si>
    <t>Лист г/к 8,0 мм</t>
  </si>
  <si>
    <t>1,6х6,0</t>
  </si>
  <si>
    <t>1,65х6,0</t>
  </si>
  <si>
    <t>1,8х6,0</t>
  </si>
  <si>
    <t>Лист г/к 10 мм</t>
  </si>
  <si>
    <t>2,0х6,0</t>
  </si>
  <si>
    <t>Лист г/к 12 мм</t>
  </si>
  <si>
    <t>Лист г/к 14 мм</t>
  </si>
  <si>
    <t>Лист г/к 16 мм</t>
  </si>
  <si>
    <t>Лист г/к 20 мм</t>
  </si>
  <si>
    <t>1,66х6,0</t>
  </si>
  <si>
    <t>Лист г/к 25 мм</t>
  </si>
  <si>
    <t>Лист г/к 30 мм</t>
  </si>
  <si>
    <t>Лист г/к 40 мм</t>
  </si>
  <si>
    <t>Лист рифленый ГОСТ 8568-77</t>
  </si>
  <si>
    <t>Лист г/к 2,5 мм рифл.</t>
  </si>
  <si>
    <t>1,24х2,45</t>
  </si>
  <si>
    <t>чечевица</t>
  </si>
  <si>
    <t>Лист г/к 3 мм рифл.</t>
  </si>
  <si>
    <t>1,0х2,5</t>
  </si>
  <si>
    <t>Лист г/к 4 мм рифл.</t>
  </si>
  <si>
    <t>Лист г/к 5 мм рифл.</t>
  </si>
  <si>
    <t>Лист г/к 6 мм рифл.</t>
  </si>
  <si>
    <t>Лист просечно-вытяжной</t>
  </si>
  <si>
    <t>Лист ПВЛ-406</t>
  </si>
  <si>
    <t>15,9кг/м2</t>
  </si>
  <si>
    <t>1,0х2,1</t>
  </si>
  <si>
    <t>1,0х2,2</t>
  </si>
  <si>
    <t>1,0х2,45</t>
  </si>
  <si>
    <t>1,0х3,0</t>
  </si>
  <si>
    <t>1,0х3,15</t>
  </si>
  <si>
    <t>1,25х2,9</t>
  </si>
  <si>
    <t>1,25х3,1</t>
  </si>
  <si>
    <t>Лист ПВЛ-408</t>
  </si>
  <si>
    <t>18,3кг/м2</t>
  </si>
  <si>
    <t>Лист ПВЛ-506</t>
  </si>
  <si>
    <t>1,2х2,06</t>
  </si>
  <si>
    <t>1,0х2,4</t>
  </si>
  <si>
    <t>18,8кг/м2</t>
  </si>
  <si>
    <t>1,0х2,8</t>
  </si>
  <si>
    <t>1,0х2,9</t>
  </si>
  <si>
    <t>1,0х3,3</t>
  </si>
  <si>
    <t>1,2х2,65</t>
  </si>
  <si>
    <t>1,2х2,8</t>
  </si>
  <si>
    <t>1,22х3,2</t>
  </si>
  <si>
    <t>Лист ПВЛ-508</t>
  </si>
  <si>
    <t>Лист ПВЛ-510</t>
  </si>
  <si>
    <t>1,1х3,0</t>
  </si>
  <si>
    <t>Балка</t>
  </si>
  <si>
    <t>Балка № 10 Б1</t>
  </si>
  <si>
    <t>Балка № 10</t>
  </si>
  <si>
    <t>9</t>
  </si>
  <si>
    <t xml:space="preserve">Балка № 12 </t>
  </si>
  <si>
    <t>Балка № 12 Б1</t>
  </si>
  <si>
    <t>Балка № 14</t>
  </si>
  <si>
    <t>Балка № 16</t>
  </si>
  <si>
    <t>Балка № 16 Б1</t>
  </si>
  <si>
    <t>Балка № 18</t>
  </si>
  <si>
    <t xml:space="preserve">Балка № 20 </t>
  </si>
  <si>
    <t>Балка № 20 Б1</t>
  </si>
  <si>
    <t>4 СП</t>
  </si>
  <si>
    <t>Балка № 20 К1</t>
  </si>
  <si>
    <t>5 СП</t>
  </si>
  <si>
    <t>Балка № 24 М</t>
  </si>
  <si>
    <t>лежалая</t>
  </si>
  <si>
    <t>Балка № 25 Б1</t>
  </si>
  <si>
    <t>7 СП</t>
  </si>
  <si>
    <t>Балка № 25 Ш1</t>
  </si>
  <si>
    <t>8 СП</t>
  </si>
  <si>
    <t>Балка № 30 Б1</t>
  </si>
  <si>
    <t>Балка № 30 Ш2</t>
  </si>
  <si>
    <t>09г2с</t>
  </si>
  <si>
    <t>немер</t>
  </si>
  <si>
    <t>Балка № 30 М</t>
  </si>
  <si>
    <t>Балка № 36 М</t>
  </si>
  <si>
    <t>Балка № 40 Б1</t>
  </si>
  <si>
    <t>Швеллер ГОСТ 8240-97</t>
  </si>
  <si>
    <t>Швеллер № 5</t>
  </si>
  <si>
    <t>Швеллер № 5П</t>
  </si>
  <si>
    <t>Швеллер № 6,5П</t>
  </si>
  <si>
    <t>3 СП-5</t>
  </si>
  <si>
    <t>Швеллер № 8У</t>
  </si>
  <si>
    <t>Швеллер № 8П / У</t>
  </si>
  <si>
    <t>Швеллер № 10У</t>
  </si>
  <si>
    <t>3 ПС-5</t>
  </si>
  <si>
    <t>Швеллер № 10П</t>
  </si>
  <si>
    <t>Швеллер № 10П / У</t>
  </si>
  <si>
    <t>Швеллер № 12П</t>
  </si>
  <si>
    <t>Швеллер № 12П / У</t>
  </si>
  <si>
    <t>Швеллер № 12У</t>
  </si>
  <si>
    <t>Швеллер № 14У</t>
  </si>
  <si>
    <t>Швеллер № 14П / У</t>
  </si>
  <si>
    <t>2 СП</t>
  </si>
  <si>
    <t>Швеллер № 16П</t>
  </si>
  <si>
    <t>Швеллер № 16У</t>
  </si>
  <si>
    <t>Швеллер № 16П / У</t>
  </si>
  <si>
    <t>Швеллер № 18У</t>
  </si>
  <si>
    <t>Швеллер № 18П / У</t>
  </si>
  <si>
    <t>Швеллер № 20У</t>
  </si>
  <si>
    <t>Швеллер № 20П</t>
  </si>
  <si>
    <t>11,5</t>
  </si>
  <si>
    <t>Швеллер № 20П / У</t>
  </si>
  <si>
    <t>Швеллер № 22П / У</t>
  </si>
  <si>
    <t>Швеллер № 24У</t>
  </si>
  <si>
    <t>11</t>
  </si>
  <si>
    <t>Швеллер № 24П / У</t>
  </si>
  <si>
    <t>Швеллер № 27У</t>
  </si>
  <si>
    <t>Швеллер № 30П</t>
  </si>
  <si>
    <t>Швеллер № 30П / У</t>
  </si>
  <si>
    <t>Швеллер № 40У</t>
  </si>
  <si>
    <t>Уголок ГОСТ 8509-93</t>
  </si>
  <si>
    <t>Уголок 25*25*4</t>
  </si>
  <si>
    <t>Немер.</t>
  </si>
  <si>
    <t>Уголок 32*32*3</t>
  </si>
  <si>
    <t>Уголок 32*32*4</t>
  </si>
  <si>
    <t>Уголок 35*35*3</t>
  </si>
  <si>
    <t>Уголок 35*35*4</t>
  </si>
  <si>
    <t>Уголок 40*40*4</t>
  </si>
  <si>
    <t>Уголок 45*45*4</t>
  </si>
  <si>
    <t>Уголок 50*50*5</t>
  </si>
  <si>
    <t>Уголок 63*63*5</t>
  </si>
  <si>
    <t>Уголок 63*63*6</t>
  </si>
  <si>
    <t>Уголок 75*75*6</t>
  </si>
  <si>
    <t>Уголок 75*75*5</t>
  </si>
  <si>
    <t>Уголок 80*80*6</t>
  </si>
  <si>
    <t>Уголок 90*90*6</t>
  </si>
  <si>
    <t>Уголок 90*90*7</t>
  </si>
  <si>
    <t>Уголок 90*90*8</t>
  </si>
  <si>
    <t>Уголок 100*100*7</t>
  </si>
  <si>
    <t>Уголок 100*100*8</t>
  </si>
  <si>
    <t>Уголок 100*100*10</t>
  </si>
  <si>
    <t>Уголок 125*125*8</t>
  </si>
  <si>
    <t>Уголок 125*125*9</t>
  </si>
  <si>
    <t>Уголок 125*125*10</t>
  </si>
  <si>
    <t>10,4</t>
  </si>
  <si>
    <t>Уголок 140*140*12</t>
  </si>
  <si>
    <t>Уголок 160*160*10</t>
  </si>
  <si>
    <t>Уголок 160*160*12</t>
  </si>
  <si>
    <t>Профнастил</t>
  </si>
  <si>
    <t>Профнастил С 8</t>
  </si>
  <si>
    <t>0,45 мм</t>
  </si>
  <si>
    <t>1,15х6,0</t>
  </si>
  <si>
    <t>RAL 8017</t>
  </si>
  <si>
    <t>0,5 мм</t>
  </si>
  <si>
    <t>1,15х2,0</t>
  </si>
  <si>
    <t>RAL 6005</t>
  </si>
  <si>
    <t>RAL 3005</t>
  </si>
  <si>
    <t>0,55 мм</t>
  </si>
  <si>
    <t>0,7 мм</t>
  </si>
  <si>
    <t>Профнастил С 20</t>
  </si>
  <si>
    <t>1,1х6,0</t>
  </si>
  <si>
    <t>Профнастил С 21</t>
  </si>
  <si>
    <t>1,0х6,0</t>
  </si>
  <si>
    <t>Профнастил НС 35</t>
  </si>
  <si>
    <t>Профнастил Н 57</t>
  </si>
  <si>
    <t>0,75х6,0</t>
  </si>
  <si>
    <t>0,9х6,0</t>
  </si>
  <si>
    <t>Профнастил Н 75</t>
  </si>
  <si>
    <t>Профнастил Н 114</t>
  </si>
  <si>
    <t>1,0 мм</t>
  </si>
  <si>
    <t>0,6х6,25</t>
  </si>
  <si>
    <t>Лист оцинкованный ГОСТ 14918-80</t>
  </si>
  <si>
    <t>Лист оц. 0,5 мм</t>
  </si>
  <si>
    <t>Лист оц. 0,55 мм</t>
  </si>
  <si>
    <t>Лист оц. 0,7 мм</t>
  </si>
  <si>
    <t>Лист оц. 1,0 мм</t>
  </si>
  <si>
    <t>Лист оц. 1,5 мм</t>
  </si>
  <si>
    <t>Лист оц. 2,0 мм</t>
  </si>
  <si>
    <t>Лист оц. 3,0 мм</t>
  </si>
  <si>
    <t>Лист оц. 1,2 мм</t>
  </si>
  <si>
    <t>Арматура</t>
  </si>
  <si>
    <t>Арматура ф 6 мм</t>
  </si>
  <si>
    <t>Арматура ф 8 мм</t>
  </si>
  <si>
    <t>35 ГС</t>
  </si>
  <si>
    <t>бухта</t>
  </si>
  <si>
    <t>А500С</t>
  </si>
  <si>
    <t>Арматура ф 10 мм</t>
  </si>
  <si>
    <t>Арматура ф 12 мм</t>
  </si>
  <si>
    <t xml:space="preserve">Арматура ф 14 мм </t>
  </si>
  <si>
    <t>Арматура ф 16 мм</t>
  </si>
  <si>
    <t>Арматура ф 18 мм</t>
  </si>
  <si>
    <t>Арматура ф 20 мм</t>
  </si>
  <si>
    <t>Арматура ф 22 мм</t>
  </si>
  <si>
    <t>Арматура ф 25 мм</t>
  </si>
  <si>
    <t>Арматура ф 28 мм</t>
  </si>
  <si>
    <t>Арматура ф 32 мм</t>
  </si>
  <si>
    <t>Катанка ТУ 14-1-5282-94</t>
  </si>
  <si>
    <t>Катанка ф 6 мм</t>
  </si>
  <si>
    <t>Катанка ф 6,5 мм</t>
  </si>
  <si>
    <t>Катанка ф 8 мм</t>
  </si>
  <si>
    <t>Катанка ф 10 мм</t>
  </si>
  <si>
    <t>Круг ГОСТ 2590-88</t>
  </si>
  <si>
    <t>Круг ф 7 мм</t>
  </si>
  <si>
    <t>калибр.</t>
  </si>
  <si>
    <t>Круг ф 10 мм</t>
  </si>
  <si>
    <t>3 пс/сп</t>
  </si>
  <si>
    <t>Круг ф 12 мм</t>
  </si>
  <si>
    <t>Круг ф 14 мм</t>
  </si>
  <si>
    <t>Круг ф 16 мм</t>
  </si>
  <si>
    <t>Круг ф 18 мм</t>
  </si>
  <si>
    <t>Круг ф 20 мм</t>
  </si>
  <si>
    <t>Круг ф 22 мм</t>
  </si>
  <si>
    <t>Круг ф 24 мм</t>
  </si>
  <si>
    <t>Круг ф 25 мм</t>
  </si>
  <si>
    <t>Круг ф 28 мм</t>
  </si>
  <si>
    <t>Круг ф 30 мм</t>
  </si>
  <si>
    <t>Круг ф 36 мм</t>
  </si>
  <si>
    <t>4,8</t>
  </si>
  <si>
    <t>Круг ф 38 мм</t>
  </si>
  <si>
    <t>Круг ф 40 мм</t>
  </si>
  <si>
    <t>Круг ф 42 мм</t>
  </si>
  <si>
    <t>Круг ф 45 мм</t>
  </si>
  <si>
    <t xml:space="preserve">Круг ф 48 мм </t>
  </si>
  <si>
    <t>Круг ф 50 мм</t>
  </si>
  <si>
    <t>Круг ф 56 мм</t>
  </si>
  <si>
    <t>Круг ф 60 мм</t>
  </si>
  <si>
    <t>Круг ф 70 мм</t>
  </si>
  <si>
    <t>Круг ф 65 мм</t>
  </si>
  <si>
    <t>20Х13</t>
  </si>
  <si>
    <t>Круг ф 80 мм</t>
  </si>
  <si>
    <t>5,55</t>
  </si>
  <si>
    <t>Круг ф 85 мм</t>
  </si>
  <si>
    <t>Круг ф 90 мм</t>
  </si>
  <si>
    <t>Круг ф 100 мм</t>
  </si>
  <si>
    <t>Круг ф 110 мм</t>
  </si>
  <si>
    <t>Круг ф 120 мм</t>
  </si>
  <si>
    <t>Круг ф 150 мм</t>
  </si>
  <si>
    <t>Круг ф 160 мм</t>
  </si>
  <si>
    <t>Круг ф 230 мм</t>
  </si>
  <si>
    <t>0,25</t>
  </si>
  <si>
    <t>Квадрат ГОСТ 2591-88</t>
  </si>
  <si>
    <t>Квадрат 10х10</t>
  </si>
  <si>
    <t>Квадрат 12х12</t>
  </si>
  <si>
    <t>Квадрат 14х14</t>
  </si>
  <si>
    <t>Квадрат 16х16</t>
  </si>
  <si>
    <t>Квадрат 20х20</t>
  </si>
  <si>
    <t>Квадрат 25х25</t>
  </si>
  <si>
    <t>5,4</t>
  </si>
  <si>
    <t>Квадрат 40х40</t>
  </si>
  <si>
    <t>Шестигранник ГОСТ 2879-88</t>
  </si>
  <si>
    <t>Шестигранник № 10</t>
  </si>
  <si>
    <t>3,5</t>
  </si>
  <si>
    <t>Шестигранник № 12</t>
  </si>
  <si>
    <t>Шестигранник № 14</t>
  </si>
  <si>
    <t>Шестигранник № 17</t>
  </si>
  <si>
    <t>20; 45</t>
  </si>
  <si>
    <t>Шестигранник № 19</t>
  </si>
  <si>
    <t>Шестигранник № 22</t>
  </si>
  <si>
    <t>Шестигранник № 24</t>
  </si>
  <si>
    <t>Шестигранник № 26</t>
  </si>
  <si>
    <t>4</t>
  </si>
  <si>
    <t>Шестигранник № 27</t>
  </si>
  <si>
    <t>20; 35</t>
  </si>
  <si>
    <t>Шестигранник № 30</t>
  </si>
  <si>
    <t>Шестигранник № 32</t>
  </si>
  <si>
    <t>Шестигранник № 36</t>
  </si>
  <si>
    <t>Шестигранник № 41</t>
  </si>
  <si>
    <t>Шестигранник № 46</t>
  </si>
  <si>
    <t>Полоса</t>
  </si>
  <si>
    <t>Полоса 20*4</t>
  </si>
  <si>
    <t>Полоса 25*4</t>
  </si>
  <si>
    <t>Полоса 25*5,0</t>
  </si>
  <si>
    <t>Полоса 30*4</t>
  </si>
  <si>
    <t>Полоса 40*4</t>
  </si>
  <si>
    <t>Полоса 40*6</t>
  </si>
  <si>
    <t>Полоса 50*4</t>
  </si>
  <si>
    <t>Полоса 50*5</t>
  </si>
  <si>
    <t>Полоса 50*6</t>
  </si>
  <si>
    <t>7</t>
  </si>
  <si>
    <t>Полоса 60*5</t>
  </si>
  <si>
    <t>Полоса 80*6</t>
  </si>
  <si>
    <t>Полоса 80*8</t>
  </si>
  <si>
    <t>Полоса 100*8</t>
  </si>
  <si>
    <t>Сетка арматурная сварная из проволоки ВР-1</t>
  </si>
  <si>
    <t>Сетка 50*50*3</t>
  </si>
  <si>
    <t>0,5х2,0</t>
  </si>
  <si>
    <t>Сетка 50*50*4</t>
  </si>
  <si>
    <t>0,38х2,0</t>
  </si>
  <si>
    <t>1,5х2,0</t>
  </si>
  <si>
    <t>Сетка 100*100*4</t>
  </si>
  <si>
    <t>2,0х2,5</t>
  </si>
  <si>
    <t>2,0х3,0</t>
  </si>
  <si>
    <t>Сетка 100*100*5</t>
  </si>
  <si>
    <t>Сетка 150*150*4</t>
  </si>
  <si>
    <t>Сетка 150*150*5</t>
  </si>
  <si>
    <t>Сетка 200*200*4</t>
  </si>
  <si>
    <t>Сетка рабица оц. 50*50*1,8</t>
  </si>
  <si>
    <t>1,5х10</t>
  </si>
  <si>
    <t>Проволока</t>
  </si>
  <si>
    <t>Проволока ф 1,2</t>
  </si>
  <si>
    <t>отмотка +50%</t>
  </si>
  <si>
    <t>ф 3,0 (для газ.сварки)</t>
  </si>
  <si>
    <t>Св-08(А)</t>
  </si>
  <si>
    <t>ВР-1 3 мм</t>
  </si>
  <si>
    <t>ВР-1 4 мм</t>
  </si>
  <si>
    <t>При объеме свыше 8 т - бесплатная доставка автотранспортом по г. Ярославлю.</t>
  </si>
  <si>
    <t>Отгрузка металлопродукции осуществляется с полным комплексом услуг по</t>
  </si>
  <si>
    <t>погрузке, разгрузке, складированию, резке и хранению.</t>
  </si>
  <si>
    <t>Возможны различные условия оплаты, на значительные объемы гибкая система скидок.</t>
  </si>
  <si>
    <t xml:space="preserve">Время работы склада с 8.00 - 17.00   </t>
  </si>
  <si>
    <t>При объеме менее 1 шт. г/к листа (4,0-40мм) - действует приплата 5 %</t>
  </si>
  <si>
    <t>Если Вас заинтересовала наша продукция, мы готовы рассмотреть Ваши предложения</t>
  </si>
  <si>
    <t>и проконсультировать по всем интересующим Вас вопросам.</t>
  </si>
  <si>
    <t>Надеемся на долгосрочное и взаимовыгодное сотрудничество!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</si>
</sst>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&quot;р.&quot;"/>
    <numFmt numFmtId="166" formatCode="_-* #,##0&quot;р.&quot;_-;\-* #,##0&quot;р.&quot;_-;_-* \-??&quot;р.&quot;_-;_-@_-"/>
    <numFmt numFmtId="167" formatCode="dd/mm/yy"/>
    <numFmt numFmtId="168" formatCode="dd/mm/yy;@"/>
    <numFmt numFmtId="169" formatCode="#,##0.00&quot;р.&quot;"/>
    <numFmt numFmtId="170" formatCode="#,##0&quot;р.&quot;;[Red]\-#,##0&quot;р.&quot;"/>
    <numFmt numFmtId="171" formatCode="0.000"/>
    <numFmt numFmtId="172" formatCode="0.0"/>
    <numFmt numFmtId="173" formatCode="_-* #,##0.00_р_._-;\-* #,##0.00_р_._-;_-* \-??_р_._-;_-@_-"/>
  </numFmts>
  <fonts count="35">
    <font>
      <sz val="10"/>
      <name val="Arial Cyr"/>
      <family val="2"/>
    </font>
    <font>
      <sz val="10"/>
      <name val="Arial"/>
      <family val="0"/>
    </font>
    <font>
      <b/>
      <i/>
      <sz val="20"/>
      <name val="Tahoma"/>
      <family val="2"/>
    </font>
    <font>
      <b/>
      <i/>
      <sz val="14"/>
      <name val="Tahoma"/>
      <family val="2"/>
    </font>
    <font>
      <b/>
      <i/>
      <sz val="12"/>
      <name val="Tahoma"/>
      <family val="2"/>
    </font>
    <font>
      <b/>
      <i/>
      <sz val="16"/>
      <name val="Tahoma"/>
      <family val="2"/>
    </font>
    <font>
      <u val="single"/>
      <sz val="10"/>
      <color indexed="12"/>
      <name val="Arial Cyr"/>
      <family val="2"/>
    </font>
    <font>
      <b/>
      <sz val="4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40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44"/>
      <name val="Times New Roman"/>
      <family val="1"/>
    </font>
    <font>
      <sz val="4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i/>
      <sz val="9"/>
      <name val="Times New Roman"/>
      <family val="1"/>
    </font>
    <font>
      <b/>
      <i/>
      <sz val="11"/>
      <name val="Arial Cyr"/>
      <family val="2"/>
    </font>
    <font>
      <sz val="24"/>
      <name val="Arial Cyr"/>
      <family val="2"/>
    </font>
    <font>
      <b/>
      <sz val="24"/>
      <name val="Times New Roman"/>
      <family val="1"/>
    </font>
    <font>
      <sz val="20"/>
      <name val="Arial Cyr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b/>
      <i/>
      <sz val="13"/>
      <name val="Times New Roman"/>
      <family val="1"/>
    </font>
    <font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165" fontId="0" fillId="0" borderId="0" xfId="16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66" fontId="0" fillId="0" borderId="0" xfId="16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165" fontId="2" fillId="0" borderId="0" xfId="16" applyNumberFormat="1" applyFont="1" applyFill="1" applyBorder="1" applyAlignment="1" applyProtection="1">
      <alignment/>
      <protection/>
    </xf>
    <xf numFmtId="165" fontId="3" fillId="0" borderId="0" xfId="16" applyNumberFormat="1" applyFont="1" applyFill="1" applyBorder="1" applyAlignment="1" applyProtection="1">
      <alignment/>
      <protection/>
    </xf>
    <xf numFmtId="166" fontId="3" fillId="0" borderId="0" xfId="16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68" fontId="4" fillId="0" borderId="0" xfId="0" applyNumberFormat="1" applyFont="1" applyFill="1" applyAlignment="1">
      <alignment horizontal="center"/>
    </xf>
    <xf numFmtId="166" fontId="5" fillId="0" borderId="0" xfId="16" applyNumberFormat="1" applyFont="1" applyFill="1" applyBorder="1" applyAlignment="1" applyProtection="1">
      <alignment vertical="center"/>
      <protection/>
    </xf>
    <xf numFmtId="0" fontId="3" fillId="0" borderId="0" xfId="15" applyNumberFormat="1" applyFont="1" applyFill="1" applyBorder="1" applyAlignment="1" applyProtection="1">
      <alignment horizontal="right" vertical="center"/>
      <protection/>
    </xf>
    <xf numFmtId="166" fontId="3" fillId="0" borderId="1" xfId="16" applyNumberFormat="1" applyFont="1" applyFill="1" applyBorder="1" applyAlignment="1" applyProtection="1">
      <alignment vertical="center"/>
      <protection/>
    </xf>
    <xf numFmtId="0" fontId="7" fillId="0" borderId="2" xfId="0" applyFont="1" applyBorder="1" applyAlignment="1">
      <alignment vertical="center" textRotation="90"/>
    </xf>
    <xf numFmtId="165" fontId="8" fillId="0" borderId="3" xfId="16" applyNumberFormat="1" applyFont="1" applyFill="1" applyBorder="1" applyAlignment="1" applyProtection="1">
      <alignment horizontal="center" vertical="center" wrapText="1"/>
      <protection/>
    </xf>
    <xf numFmtId="166" fontId="8" fillId="0" borderId="3" xfId="16" applyNumberFormat="1" applyFont="1" applyFill="1" applyBorder="1" applyAlignment="1" applyProtection="1">
      <alignment horizontal="center" vertical="center" wrapText="1"/>
      <protection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9" fontId="8" fillId="0" borderId="3" xfId="0" applyNumberFormat="1" applyFont="1" applyBorder="1" applyAlignment="1">
      <alignment horizontal="center" vertical="center"/>
    </xf>
    <xf numFmtId="165" fontId="8" fillId="0" borderId="5" xfId="16" applyNumberFormat="1" applyFont="1" applyFill="1" applyBorder="1" applyAlignment="1" applyProtection="1">
      <alignment horizontal="center" vertical="center" wrapText="1"/>
      <protection/>
    </xf>
    <xf numFmtId="166" fontId="8" fillId="0" borderId="5" xfId="16" applyNumberFormat="1" applyFont="1" applyFill="1" applyBorder="1" applyAlignment="1" applyProtection="1">
      <alignment horizontal="center" vertical="center" wrapText="1"/>
      <protection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169" fontId="8" fillId="0" borderId="8" xfId="0" applyNumberFormat="1" applyFont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left" vertical="center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10" fillId="0" borderId="5" xfId="0" applyNumberFormat="1" applyFont="1" applyFill="1" applyBorder="1" applyAlignment="1">
      <alignment horizontal="left" vertical="center" wrapText="1"/>
    </xf>
    <xf numFmtId="170" fontId="10" fillId="0" borderId="5" xfId="0" applyNumberFormat="1" applyFont="1" applyFill="1" applyBorder="1" applyAlignment="1">
      <alignment horizontal="right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vertical="center"/>
    </xf>
    <xf numFmtId="0" fontId="10" fillId="0" borderId="8" xfId="0" applyNumberFormat="1" applyFont="1" applyFill="1" applyBorder="1" applyAlignment="1">
      <alignment vertical="top" wrapText="1"/>
    </xf>
    <xf numFmtId="165" fontId="10" fillId="0" borderId="8" xfId="16" applyNumberFormat="1" applyFont="1" applyFill="1" applyBorder="1" applyAlignment="1" applyProtection="1">
      <alignment vertical="top" wrapText="1"/>
      <protection/>
    </xf>
    <xf numFmtId="0" fontId="10" fillId="0" borderId="8" xfId="16" applyNumberFormat="1" applyFont="1" applyFill="1" applyBorder="1" applyAlignment="1" applyProtection="1">
      <alignment horizontal="center" vertical="center" wrapText="1"/>
      <protection/>
    </xf>
    <xf numFmtId="2" fontId="10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2" fillId="0" borderId="2" xfId="0" applyFont="1" applyBorder="1" applyAlignment="1">
      <alignment vertical="center" textRotation="90"/>
    </xf>
    <xf numFmtId="0" fontId="0" fillId="0" borderId="0" xfId="0" applyNumberFormat="1" applyFont="1" applyFill="1" applyAlignment="1">
      <alignment/>
    </xf>
    <xf numFmtId="0" fontId="10" fillId="0" borderId="2" xfId="0" applyFont="1" applyBorder="1" applyAlignment="1">
      <alignment vertical="center" textRotation="90"/>
    </xf>
    <xf numFmtId="0" fontId="11" fillId="0" borderId="0" xfId="0" applyNumberFormat="1" applyFont="1" applyFill="1" applyAlignment="1">
      <alignment/>
    </xf>
    <xf numFmtId="0" fontId="8" fillId="0" borderId="8" xfId="0" applyNumberFormat="1" applyFont="1" applyFill="1" applyBorder="1" applyAlignment="1">
      <alignment vertical="top"/>
    </xf>
    <xf numFmtId="165" fontId="8" fillId="0" borderId="8" xfId="16" applyNumberFormat="1" applyFont="1" applyFill="1" applyBorder="1" applyAlignment="1" applyProtection="1">
      <alignment vertical="top" wrapText="1"/>
      <protection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16" applyNumberFormat="1" applyFont="1" applyFill="1" applyBorder="1" applyAlignment="1" applyProtection="1">
      <alignment horizontal="center" vertical="center" wrapText="1"/>
      <protection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1" fillId="0" borderId="8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/>
    </xf>
    <xf numFmtId="0" fontId="11" fillId="0" borderId="8" xfId="0" applyNumberFormat="1" applyFont="1" applyFill="1" applyBorder="1" applyAlignment="1">
      <alignment/>
    </xf>
    <xf numFmtId="0" fontId="9" fillId="2" borderId="11" xfId="0" applyNumberFormat="1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 vertical="top"/>
    </xf>
    <xf numFmtId="165" fontId="10" fillId="0" borderId="5" xfId="16" applyNumberFormat="1" applyFont="1" applyFill="1" applyBorder="1" applyAlignment="1" applyProtection="1">
      <alignment vertical="top" wrapText="1"/>
      <protection/>
    </xf>
    <xf numFmtId="0" fontId="10" fillId="0" borderId="5" xfId="16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>
      <alignment vertical="top"/>
    </xf>
    <xf numFmtId="165" fontId="8" fillId="0" borderId="5" xfId="16" applyNumberFormat="1" applyFont="1" applyFill="1" applyBorder="1" applyAlignment="1" applyProtection="1">
      <alignment vertical="top" wrapText="1"/>
      <protection/>
    </xf>
    <xf numFmtId="0" fontId="8" fillId="0" borderId="5" xfId="16" applyNumberFormat="1" applyFont="1" applyFill="1" applyBorder="1" applyAlignment="1" applyProtection="1">
      <alignment horizontal="center" vertical="center" wrapText="1"/>
      <protection/>
    </xf>
    <xf numFmtId="3" fontId="8" fillId="0" borderId="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/>
    </xf>
    <xf numFmtId="0" fontId="10" fillId="0" borderId="5" xfId="0" applyNumberFormat="1" applyFont="1" applyFill="1" applyBorder="1" applyAlignment="1">
      <alignment vertical="top" wrapText="1"/>
    </xf>
    <xf numFmtId="0" fontId="16" fillId="0" borderId="2" xfId="0" applyFont="1" applyBorder="1" applyAlignment="1">
      <alignment horizontal="center" vertical="center" textRotation="90"/>
    </xf>
    <xf numFmtId="0" fontId="16" fillId="0" borderId="8" xfId="0" applyNumberFormat="1" applyFont="1" applyFill="1" applyBorder="1" applyAlignment="1">
      <alignment horizontal="left" vertical="center"/>
    </xf>
    <xf numFmtId="165" fontId="16" fillId="0" borderId="8" xfId="16" applyNumberFormat="1" applyFont="1" applyFill="1" applyBorder="1" applyAlignment="1" applyProtection="1">
      <alignment horizontal="center" vertical="center" wrapText="1"/>
      <protection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8" xfId="16" applyNumberFormat="1" applyFont="1" applyFill="1" applyBorder="1" applyAlignment="1" applyProtection="1">
      <alignment horizontal="center" vertical="center" wrapText="1"/>
      <protection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8" fillId="0" borderId="8" xfId="0" applyNumberFormat="1" applyFont="1" applyFill="1" applyBorder="1" applyAlignment="1">
      <alignment horizontal="center" vertical="center"/>
    </xf>
    <xf numFmtId="165" fontId="8" fillId="0" borderId="8" xfId="1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center" vertical="center"/>
    </xf>
    <xf numFmtId="0" fontId="16" fillId="0" borderId="8" xfId="0" applyNumberFormat="1" applyFont="1" applyFill="1" applyBorder="1" applyAlignment="1">
      <alignment horizontal="left" vertical="center" wrapText="1"/>
    </xf>
    <xf numFmtId="49" fontId="16" fillId="0" borderId="8" xfId="16" applyNumberFormat="1" applyFont="1" applyFill="1" applyBorder="1" applyAlignment="1" applyProtection="1">
      <alignment horizontal="center" vertical="center" wrapText="1"/>
      <protection/>
    </xf>
    <xf numFmtId="0" fontId="16" fillId="0" borderId="8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horizontal="center" vertical="center"/>
    </xf>
    <xf numFmtId="0" fontId="16" fillId="0" borderId="2" xfId="0" applyFont="1" applyBorder="1" applyAlignment="1">
      <alignment vertical="center" textRotation="90"/>
    </xf>
    <xf numFmtId="0" fontId="16" fillId="0" borderId="8" xfId="0" applyNumberFormat="1" applyFont="1" applyFill="1" applyBorder="1" applyAlignment="1">
      <alignment vertical="top"/>
    </xf>
    <xf numFmtId="165" fontId="16" fillId="0" borderId="8" xfId="16" applyNumberFormat="1" applyFont="1" applyFill="1" applyBorder="1" applyAlignment="1" applyProtection="1">
      <alignment vertical="top" wrapText="1"/>
      <protection/>
    </xf>
    <xf numFmtId="0" fontId="16" fillId="0" borderId="8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/>
    </xf>
    <xf numFmtId="49" fontId="8" fillId="0" borderId="8" xfId="16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vertical="top" wrapText="1"/>
    </xf>
    <xf numFmtId="49" fontId="10" fillId="0" borderId="8" xfId="16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>
      <alignment vertical="top" wrapText="1"/>
    </xf>
    <xf numFmtId="165" fontId="8" fillId="0" borderId="3" xfId="16" applyNumberFormat="1" applyFont="1" applyFill="1" applyBorder="1" applyAlignment="1" applyProtection="1">
      <alignment vertical="top" wrapText="1"/>
      <protection/>
    </xf>
    <xf numFmtId="0" fontId="8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vertical="top" wrapText="1"/>
    </xf>
    <xf numFmtId="165" fontId="10" fillId="0" borderId="3" xfId="16" applyNumberFormat="1" applyFont="1" applyFill="1" applyBorder="1" applyAlignment="1" applyProtection="1">
      <alignment vertical="top" wrapText="1"/>
      <protection/>
    </xf>
    <xf numFmtId="0" fontId="10" fillId="0" borderId="3" xfId="0" applyNumberFormat="1" applyFont="1" applyFill="1" applyBorder="1" applyAlignment="1">
      <alignment horizontal="center"/>
    </xf>
    <xf numFmtId="0" fontId="10" fillId="0" borderId="3" xfId="16" applyNumberFormat="1" applyFont="1" applyFill="1" applyBorder="1" applyAlignment="1" applyProtection="1">
      <alignment horizontal="center" vertical="center" wrapText="1"/>
      <protection/>
    </xf>
    <xf numFmtId="0" fontId="19" fillId="0" borderId="8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center" vertical="center" wrapText="1"/>
    </xf>
    <xf numFmtId="0" fontId="8" fillId="0" borderId="3" xfId="16" applyNumberFormat="1" applyFont="1" applyFill="1" applyBorder="1" applyAlignment="1" applyProtection="1">
      <alignment horizontal="center" vertical="center" wrapText="1"/>
      <protection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vertical="center" textRotation="90"/>
    </xf>
    <xf numFmtId="0" fontId="10" fillId="0" borderId="3" xfId="0" applyNumberFormat="1" applyFont="1" applyFill="1" applyBorder="1" applyAlignment="1">
      <alignment/>
    </xf>
    <xf numFmtId="0" fontId="21" fillId="0" borderId="2" xfId="0" applyNumberFormat="1" applyFont="1" applyFill="1" applyBorder="1" applyAlignment="1">
      <alignment vertical="center" textRotation="90"/>
    </xf>
    <xf numFmtId="171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top"/>
    </xf>
    <xf numFmtId="0" fontId="10" fillId="0" borderId="8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vertical="top"/>
    </xf>
    <xf numFmtId="0" fontId="0" fillId="0" borderId="8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 vertical="center"/>
    </xf>
    <xf numFmtId="49" fontId="10" fillId="0" borderId="3" xfId="16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 textRotation="90"/>
    </xf>
    <xf numFmtId="0" fontId="10" fillId="0" borderId="0" xfId="0" applyNumberFormat="1" applyFont="1" applyFill="1" applyBorder="1" applyAlignment="1">
      <alignment vertical="top" wrapText="1"/>
    </xf>
    <xf numFmtId="165" fontId="10" fillId="0" borderId="0" xfId="16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49" fontId="10" fillId="0" borderId="0" xfId="16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65" fontId="10" fillId="2" borderId="10" xfId="16" applyNumberFormat="1" applyFont="1" applyFill="1" applyBorder="1" applyAlignment="1" applyProtection="1">
      <alignment vertical="top" wrapText="1"/>
      <protection/>
    </xf>
    <xf numFmtId="0" fontId="10" fillId="2" borderId="10" xfId="0" applyNumberFormat="1" applyFont="1" applyFill="1" applyBorder="1" applyAlignment="1">
      <alignment horizontal="center" vertical="center" wrapText="1"/>
    </xf>
    <xf numFmtId="49" fontId="10" fillId="2" borderId="10" xfId="16" applyNumberFormat="1" applyFont="1" applyFill="1" applyBorder="1" applyAlignment="1" applyProtection="1">
      <alignment horizontal="center" vertical="center" wrapText="1"/>
      <protection/>
    </xf>
    <xf numFmtId="2" fontId="10" fillId="2" borderId="10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/>
    </xf>
    <xf numFmtId="171" fontId="8" fillId="0" borderId="8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2" fontId="10" fillId="0" borderId="8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textRotation="90"/>
    </xf>
    <xf numFmtId="0" fontId="24" fillId="0" borderId="0" xfId="0" applyNumberFormat="1" applyFont="1" applyFill="1" applyAlignment="1">
      <alignment/>
    </xf>
    <xf numFmtId="0" fontId="10" fillId="0" borderId="2" xfId="0" applyNumberFormat="1" applyFont="1" applyFill="1" applyBorder="1" applyAlignment="1">
      <alignment vertical="center" textRotation="90"/>
    </xf>
    <xf numFmtId="3" fontId="23" fillId="0" borderId="3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166" fontId="10" fillId="0" borderId="8" xfId="16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 horizontal="center" vertical="center"/>
    </xf>
    <xf numFmtId="172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 horizontal="center"/>
    </xf>
    <xf numFmtId="165" fontId="18" fillId="0" borderId="5" xfId="16" applyNumberFormat="1" applyFont="1" applyFill="1" applyBorder="1" applyAlignment="1" applyProtection="1">
      <alignment vertical="top" wrapText="1"/>
      <protection/>
    </xf>
    <xf numFmtId="166" fontId="10" fillId="0" borderId="5" xfId="16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>
      <alignment/>
    </xf>
    <xf numFmtId="165" fontId="25" fillId="0" borderId="8" xfId="16" applyNumberFormat="1" applyFont="1" applyFill="1" applyBorder="1" applyAlignment="1" applyProtection="1">
      <alignment vertical="top" wrapText="1"/>
      <protection/>
    </xf>
    <xf numFmtId="165" fontId="10" fillId="0" borderId="8" xfId="16" applyNumberFormat="1" applyFont="1" applyFill="1" applyBorder="1" applyAlignment="1" applyProtection="1">
      <alignment horizontal="right" vertical="top" wrapText="1"/>
      <protection/>
    </xf>
    <xf numFmtId="165" fontId="8" fillId="0" borderId="8" xfId="16" applyNumberFormat="1" applyFont="1" applyFill="1" applyBorder="1" applyAlignment="1" applyProtection="1">
      <alignment horizontal="right" vertical="top" wrapText="1"/>
      <protection/>
    </xf>
    <xf numFmtId="166" fontId="8" fillId="0" borderId="8" xfId="16" applyNumberFormat="1" applyFont="1" applyFill="1" applyBorder="1" applyAlignment="1" applyProtection="1">
      <alignment horizontal="center" vertical="center" wrapText="1"/>
      <protection/>
    </xf>
    <xf numFmtId="165" fontId="10" fillId="0" borderId="5" xfId="16" applyNumberFormat="1" applyFont="1" applyFill="1" applyBorder="1" applyAlignment="1" applyProtection="1">
      <alignment horizontal="right" vertical="top" wrapText="1"/>
      <protection/>
    </xf>
    <xf numFmtId="0" fontId="10" fillId="0" borderId="12" xfId="0" applyNumberFormat="1" applyFont="1" applyFill="1" applyBorder="1" applyAlignment="1">
      <alignment/>
    </xf>
    <xf numFmtId="165" fontId="10" fillId="0" borderId="3" xfId="16" applyNumberFormat="1" applyFont="1" applyFill="1" applyBorder="1" applyAlignment="1" applyProtection="1">
      <alignment horizontal="right" vertical="top" wrapText="1"/>
      <protection/>
    </xf>
    <xf numFmtId="166" fontId="10" fillId="0" borderId="3" xfId="16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1" fontId="10" fillId="0" borderId="8" xfId="0" applyNumberFormat="1" applyFont="1" applyFill="1" applyBorder="1" applyAlignment="1">
      <alignment horizontal="center" vertical="center" wrapText="1"/>
    </xf>
    <xf numFmtId="0" fontId="10" fillId="0" borderId="8" xfId="16" applyNumberFormat="1" applyFont="1" applyFill="1" applyBorder="1" applyAlignment="1" applyProtection="1">
      <alignment horizontal="center" vertical="center"/>
      <protection/>
    </xf>
    <xf numFmtId="0" fontId="23" fillId="0" borderId="8" xfId="0" applyNumberFormat="1" applyFont="1" applyFill="1" applyBorder="1" applyAlignment="1">
      <alignment horizontal="center"/>
    </xf>
    <xf numFmtId="172" fontId="10" fillId="0" borderId="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4" borderId="0" xfId="0" applyNumberFormat="1" applyFont="1" applyFill="1" applyAlignment="1">
      <alignment vertical="center"/>
    </xf>
    <xf numFmtId="1" fontId="10" fillId="0" borderId="8" xfId="16" applyNumberFormat="1" applyFont="1" applyFill="1" applyBorder="1" applyAlignment="1" applyProtection="1">
      <alignment horizontal="center" vertical="center"/>
      <protection/>
    </xf>
    <xf numFmtId="0" fontId="19" fillId="0" borderId="8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15" fillId="3" borderId="0" xfId="0" applyNumberFormat="1" applyFont="1" applyFill="1" applyAlignment="1">
      <alignment vertical="center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0" fillId="5" borderId="8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top" wrapText="1"/>
    </xf>
    <xf numFmtId="165" fontId="10" fillId="0" borderId="12" xfId="16" applyNumberFormat="1" applyFont="1" applyFill="1" applyBorder="1" applyAlignment="1" applyProtection="1">
      <alignment vertical="top" wrapText="1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166" fontId="10" fillId="0" borderId="12" xfId="16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9" fontId="10" fillId="0" borderId="5" xfId="16" applyNumberFormat="1" applyFont="1" applyFill="1" applyBorder="1" applyAlignment="1" applyProtection="1">
      <alignment horizontal="center" vertical="center" wrapText="1"/>
      <protection/>
    </xf>
    <xf numFmtId="2" fontId="10" fillId="0" borderId="8" xfId="0" applyNumberFormat="1" applyFont="1" applyBorder="1" applyAlignment="1">
      <alignment horizontal="center" vertical="center" wrapText="1"/>
    </xf>
    <xf numFmtId="0" fontId="0" fillId="0" borderId="5" xfId="0" applyNumberForma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/>
    </xf>
    <xf numFmtId="49" fontId="10" fillId="0" borderId="12" xfId="16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>
      <alignment/>
    </xf>
    <xf numFmtId="3" fontId="10" fillId="0" borderId="8" xfId="0" applyNumberFormat="1" applyFont="1" applyFill="1" applyBorder="1" applyAlignment="1">
      <alignment horizontal="center"/>
    </xf>
    <xf numFmtId="0" fontId="10" fillId="0" borderId="8" xfId="19" applyNumberFormat="1" applyFont="1" applyFill="1" applyBorder="1" applyAlignment="1" applyProtection="1">
      <alignment horizontal="center" vertical="center" wrapText="1"/>
      <protection/>
    </xf>
    <xf numFmtId="165" fontId="23" fillId="0" borderId="8" xfId="16" applyNumberFormat="1" applyFont="1" applyFill="1" applyBorder="1" applyAlignment="1" applyProtection="1">
      <alignment vertical="top" wrapText="1"/>
      <protection/>
    </xf>
    <xf numFmtId="3" fontId="23" fillId="0" borderId="8" xfId="0" applyNumberFormat="1" applyFont="1" applyFill="1" applyBorder="1" applyAlignment="1">
      <alignment horizontal="center"/>
    </xf>
    <xf numFmtId="0" fontId="23" fillId="0" borderId="8" xfId="0" applyNumberFormat="1" applyFont="1" applyFill="1" applyBorder="1" applyAlignment="1">
      <alignment horizontal="center" vertical="center" wrapText="1"/>
    </xf>
    <xf numFmtId="49" fontId="10" fillId="0" borderId="8" xfId="19" applyNumberFormat="1" applyFont="1" applyFill="1" applyBorder="1" applyAlignment="1" applyProtection="1">
      <alignment horizontal="center" vertical="center" wrapText="1"/>
      <protection/>
    </xf>
    <xf numFmtId="49" fontId="10" fillId="0" borderId="8" xfId="16" applyNumberFormat="1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>
      <alignment horizontal="left" vertical="center" wrapText="1"/>
    </xf>
    <xf numFmtId="165" fontId="10" fillId="0" borderId="8" xfId="16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3" borderId="0" xfId="0" applyNumberFormat="1" applyFont="1" applyFill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5" fontId="10" fillId="0" borderId="3" xfId="16" applyNumberFormat="1" applyFont="1" applyFill="1" applyBorder="1" applyAlignment="1" applyProtection="1">
      <alignment horizontal="right" vertical="center" wrapText="1"/>
      <protection/>
    </xf>
    <xf numFmtId="0" fontId="10" fillId="0" borderId="3" xfId="0" applyFont="1" applyBorder="1" applyAlignment="1">
      <alignment horizontal="center" vertical="center" wrapText="1"/>
    </xf>
    <xf numFmtId="172" fontId="10" fillId="0" borderId="3" xfId="16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 textRotation="90"/>
    </xf>
    <xf numFmtId="3" fontId="10" fillId="0" borderId="5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/>
    </xf>
    <xf numFmtId="0" fontId="12" fillId="0" borderId="2" xfId="0" applyNumberFormat="1" applyFont="1" applyFill="1" applyBorder="1" applyAlignment="1">
      <alignment vertical="center" textRotation="90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0" fillId="0" borderId="3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vertical="center" textRotation="90"/>
    </xf>
    <xf numFmtId="0" fontId="26" fillId="0" borderId="0" xfId="0" applyNumberFormat="1" applyFont="1" applyFill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165" fontId="10" fillId="0" borderId="0" xfId="16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>
      <alignment horizontal="center" vertical="center"/>
    </xf>
    <xf numFmtId="166" fontId="10" fillId="0" borderId="0" xfId="16" applyNumberFormat="1" applyFont="1" applyFill="1" applyBorder="1" applyAlignment="1" applyProtection="1">
      <alignment horizontal="center" vertical="center" wrapText="1"/>
      <protection/>
    </xf>
    <xf numFmtId="171" fontId="10" fillId="0" borderId="5" xfId="0" applyNumberFormat="1" applyFont="1" applyFill="1" applyBorder="1" applyAlignment="1">
      <alignment horizontal="center" vertical="center" wrapText="1"/>
    </xf>
    <xf numFmtId="49" fontId="8" fillId="0" borderId="5" xfId="16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>
      <alignment horizontal="center"/>
    </xf>
    <xf numFmtId="1" fontId="10" fillId="0" borderId="8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/>
    </xf>
    <xf numFmtId="49" fontId="10" fillId="0" borderId="8" xfId="16" applyNumberFormat="1" applyFont="1" applyFill="1" applyBorder="1" applyAlignment="1" applyProtection="1">
      <alignment horizontal="left" vertical="center" wrapText="1"/>
      <protection/>
    </xf>
    <xf numFmtId="49" fontId="10" fillId="0" borderId="3" xfId="16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textRotation="90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7" fontId="4" fillId="0" borderId="0" xfId="16" applyNumberFormat="1" applyFont="1" applyFill="1" applyBorder="1" applyAlignment="1" applyProtection="1">
      <alignment horizontal="right" vertical="center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9" fontId="8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9" fontId="8" fillId="0" borderId="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</xdr:col>
      <xdr:colOff>1047750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7429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89"/>
  <sheetViews>
    <sheetView tabSelected="1" workbookViewId="0" topLeftCell="A1">
      <pane xSplit="2" ySplit="7" topLeftCell="C493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L576" sqref="L576"/>
    </sheetView>
  </sheetViews>
  <sheetFormatPr defaultColWidth="9.00390625" defaultRowHeight="12.75"/>
  <cols>
    <col min="1" max="1" width="0" style="1" hidden="1" customWidth="1"/>
    <col min="2" max="2" width="16.75390625" style="2" customWidth="1"/>
    <col min="3" max="3" width="6.25390625" style="3" customWidth="1"/>
    <col min="4" max="4" width="6.875" style="4" customWidth="1"/>
    <col min="5" max="5" width="8.125" style="5" customWidth="1"/>
    <col min="6" max="6" width="8.00390625" style="6" customWidth="1"/>
    <col min="7" max="7" width="9.625" style="6" customWidth="1"/>
    <col min="8" max="10" width="9.75390625" style="4" customWidth="1"/>
    <col min="11" max="11" width="10.75390625" style="0" customWidth="1"/>
  </cols>
  <sheetData>
    <row r="1" spans="2:11" ht="25.5">
      <c r="B1" s="7"/>
      <c r="C1" s="7" t="s">
        <v>0</v>
      </c>
      <c r="D1" s="7"/>
      <c r="E1" s="7"/>
      <c r="F1" s="7"/>
      <c r="G1" s="7"/>
      <c r="H1" s="8"/>
      <c r="I1" s="8"/>
      <c r="J1" s="269">
        <v>43207</v>
      </c>
      <c r="K1" s="269"/>
    </row>
    <row r="2" spans="2:11" ht="20.25" customHeight="1">
      <c r="B2" s="9"/>
      <c r="C2" s="9" t="s">
        <v>1</v>
      </c>
      <c r="D2" s="9"/>
      <c r="E2" s="9"/>
      <c r="F2" s="9"/>
      <c r="G2" s="9"/>
      <c r="H2" s="10"/>
      <c r="I2" s="10"/>
      <c r="J2" s="10"/>
      <c r="K2" s="11"/>
    </row>
    <row r="3" spans="2:11" ht="20.25" customHeight="1">
      <c r="B3" s="9"/>
      <c r="C3" s="9"/>
      <c r="D3" s="9" t="s">
        <v>2</v>
      </c>
      <c r="E3" s="12"/>
      <c r="F3" s="9"/>
      <c r="G3" s="9"/>
      <c r="H3" s="10"/>
      <c r="I3" s="10"/>
      <c r="J3" s="10"/>
      <c r="K3" s="11"/>
    </row>
    <row r="4" spans="2:11" ht="15.75" customHeight="1">
      <c r="B4" s="9"/>
      <c r="C4" s="9"/>
      <c r="D4" s="9"/>
      <c r="E4" s="9"/>
      <c r="F4" s="9"/>
      <c r="G4" s="9"/>
      <c r="H4" s="9"/>
      <c r="I4" s="9"/>
      <c r="J4" s="9"/>
      <c r="K4" s="13" t="s">
        <v>3</v>
      </c>
    </row>
    <row r="5" spans="2:11" ht="9.75" customHeight="1">
      <c r="B5" s="14"/>
      <c r="C5" s="9"/>
      <c r="D5" s="14"/>
      <c r="E5" s="9"/>
      <c r="F5" s="9"/>
      <c r="G5" s="9"/>
      <c r="H5" s="9"/>
      <c r="I5" s="14"/>
      <c r="J5" s="14"/>
      <c r="K5" s="9"/>
    </row>
    <row r="6" spans="1:11" ht="13.5" customHeight="1">
      <c r="A6" s="15" t="s">
        <v>4</v>
      </c>
      <c r="B6" s="270" t="s">
        <v>5</v>
      </c>
      <c r="C6" s="16" t="s">
        <v>6</v>
      </c>
      <c r="D6" s="271" t="s">
        <v>7</v>
      </c>
      <c r="E6" s="17" t="s">
        <v>8</v>
      </c>
      <c r="F6" s="18" t="s">
        <v>9</v>
      </c>
      <c r="G6" s="19" t="s">
        <v>10</v>
      </c>
      <c r="H6" s="20" t="s">
        <v>11</v>
      </c>
      <c r="I6" s="272" t="s">
        <v>12</v>
      </c>
      <c r="J6" s="272"/>
      <c r="K6" s="273" t="s">
        <v>13</v>
      </c>
    </row>
    <row r="7" spans="1:11" ht="13.5" customHeight="1">
      <c r="A7" s="15"/>
      <c r="B7" s="270"/>
      <c r="C7" s="21" t="s">
        <v>14</v>
      </c>
      <c r="D7" s="271"/>
      <c r="E7" s="22" t="s">
        <v>15</v>
      </c>
      <c r="F7" s="23" t="s">
        <v>16</v>
      </c>
      <c r="G7" s="24" t="s">
        <v>16</v>
      </c>
      <c r="H7" s="25" t="s">
        <v>14</v>
      </c>
      <c r="I7" s="26" t="s">
        <v>17</v>
      </c>
      <c r="J7" s="27" t="s">
        <v>18</v>
      </c>
      <c r="K7" s="273"/>
    </row>
    <row r="8" spans="1:252" s="32" customFormat="1" ht="21" customHeight="1">
      <c r="A8" s="15"/>
      <c r="B8" s="28" t="s">
        <v>19</v>
      </c>
      <c r="C8" s="29"/>
      <c r="D8" s="29"/>
      <c r="E8" s="29"/>
      <c r="F8" s="29"/>
      <c r="G8" s="29"/>
      <c r="H8" s="30"/>
      <c r="I8" s="29"/>
      <c r="J8" s="29"/>
      <c r="K8" s="31"/>
      <c r="L8" s="32">
        <v>267</v>
      </c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</row>
    <row r="9" spans="1:12" s="43" customFormat="1" ht="13.5" customHeight="1">
      <c r="A9" s="15"/>
      <c r="B9" s="34" t="s">
        <v>20</v>
      </c>
      <c r="C9" s="35">
        <v>15</v>
      </c>
      <c r="D9" s="36"/>
      <c r="E9" s="37">
        <v>9</v>
      </c>
      <c r="F9" s="37">
        <v>1.28</v>
      </c>
      <c r="G9" s="38">
        <f aca="true" t="shared" si="0" ref="G9:G17">E9*F9</f>
        <v>11.52</v>
      </c>
      <c r="H9" s="39">
        <f aca="true" t="shared" si="1" ref="H9:H17">I9/(1000/G9)</f>
        <v>575.8848</v>
      </c>
      <c r="I9" s="40">
        <v>49990</v>
      </c>
      <c r="J9" s="41"/>
      <c r="K9" s="42" t="s">
        <v>21</v>
      </c>
      <c r="L9" s="43">
        <v>267</v>
      </c>
    </row>
    <row r="10" spans="1:11" s="48" customFormat="1" ht="13.5" customHeight="1" hidden="1">
      <c r="A10" s="15"/>
      <c r="B10" s="44" t="s">
        <v>22</v>
      </c>
      <c r="C10" s="45">
        <v>17</v>
      </c>
      <c r="D10" s="36"/>
      <c r="E10" s="46">
        <v>8.5</v>
      </c>
      <c r="F10" s="47">
        <v>1.66</v>
      </c>
      <c r="G10" s="38">
        <f t="shared" si="0"/>
        <v>14.11</v>
      </c>
      <c r="H10" s="39">
        <f t="shared" si="1"/>
        <v>673.7525</v>
      </c>
      <c r="I10" s="40">
        <v>47750</v>
      </c>
      <c r="J10" s="41"/>
      <c r="K10" s="42" t="s">
        <v>21</v>
      </c>
    </row>
    <row r="11" spans="1:12" s="48" customFormat="1" ht="13.5" customHeight="1">
      <c r="A11" s="15"/>
      <c r="B11" s="44" t="s">
        <v>22</v>
      </c>
      <c r="C11" s="45">
        <v>17</v>
      </c>
      <c r="D11" s="36"/>
      <c r="E11" s="46">
        <v>9</v>
      </c>
      <c r="F11" s="47">
        <f>1.66</f>
        <v>1.6600000000000001</v>
      </c>
      <c r="G11" s="38">
        <f t="shared" si="0"/>
        <v>14.940000000000001</v>
      </c>
      <c r="H11" s="39">
        <f t="shared" si="1"/>
        <v>724.4406</v>
      </c>
      <c r="I11" s="40">
        <v>48490</v>
      </c>
      <c r="J11" s="41"/>
      <c r="K11" s="42" t="s">
        <v>21</v>
      </c>
      <c r="L11" s="48">
        <v>267</v>
      </c>
    </row>
    <row r="12" spans="1:11" s="50" customFormat="1" ht="13.5" customHeight="1" hidden="1">
      <c r="A12" s="49"/>
      <c r="B12" s="44" t="s">
        <v>23</v>
      </c>
      <c r="C12" s="45">
        <v>18</v>
      </c>
      <c r="D12" s="36"/>
      <c r="E12" s="46">
        <v>9</v>
      </c>
      <c r="F12" s="47">
        <v>2.39</v>
      </c>
      <c r="G12" s="38">
        <f t="shared" si="0"/>
        <v>21.51</v>
      </c>
      <c r="H12" s="41">
        <f t="shared" si="1"/>
        <v>812.0025</v>
      </c>
      <c r="I12" s="40">
        <v>37750</v>
      </c>
      <c r="J12" s="41"/>
      <c r="K12" s="42" t="s">
        <v>21</v>
      </c>
    </row>
    <row r="13" spans="1:12" s="50" customFormat="1" ht="13.5" customHeight="1">
      <c r="A13" s="49"/>
      <c r="B13" s="44" t="s">
        <v>23</v>
      </c>
      <c r="C13" s="45">
        <v>18</v>
      </c>
      <c r="D13" s="36"/>
      <c r="E13" s="46">
        <v>10.5</v>
      </c>
      <c r="F13" s="47">
        <v>2.39</v>
      </c>
      <c r="G13" s="38">
        <f t="shared" si="0"/>
        <v>25.095000000000002</v>
      </c>
      <c r="H13" s="41">
        <f t="shared" si="1"/>
        <v>1166.6665500000001</v>
      </c>
      <c r="I13" s="40">
        <v>46490</v>
      </c>
      <c r="J13" s="41"/>
      <c r="K13" s="42" t="s">
        <v>21</v>
      </c>
      <c r="L13" s="50">
        <v>267</v>
      </c>
    </row>
    <row r="14" spans="1:12" s="48" customFormat="1" ht="13.5" customHeight="1">
      <c r="A14" s="15"/>
      <c r="B14" s="44" t="s">
        <v>24</v>
      </c>
      <c r="C14" s="45">
        <v>20</v>
      </c>
      <c r="D14" s="36"/>
      <c r="E14" s="46">
        <v>10.5</v>
      </c>
      <c r="F14" s="47">
        <v>3.09</v>
      </c>
      <c r="G14" s="38">
        <f t="shared" si="0"/>
        <v>32.445</v>
      </c>
      <c r="H14" s="41">
        <f t="shared" si="1"/>
        <v>1475.92305</v>
      </c>
      <c r="I14" s="40">
        <v>45490</v>
      </c>
      <c r="J14" s="41"/>
      <c r="K14" s="42" t="s">
        <v>21</v>
      </c>
      <c r="L14" s="50">
        <v>267</v>
      </c>
    </row>
    <row r="15" spans="1:12" s="50" customFormat="1" ht="13.5" customHeight="1">
      <c r="A15" s="49"/>
      <c r="B15" s="44" t="s">
        <v>25</v>
      </c>
      <c r="C15" s="45">
        <v>22</v>
      </c>
      <c r="D15" s="36"/>
      <c r="E15" s="46">
        <v>10.5</v>
      </c>
      <c r="F15" s="47">
        <v>3.84</v>
      </c>
      <c r="G15" s="38">
        <f t="shared" si="0"/>
        <v>40.32</v>
      </c>
      <c r="H15" s="41">
        <f t="shared" si="1"/>
        <v>1824.48</v>
      </c>
      <c r="I15" s="40">
        <v>45250</v>
      </c>
      <c r="J15" s="41"/>
      <c r="K15" s="42" t="s">
        <v>21</v>
      </c>
      <c r="L15" s="50">
        <v>267</v>
      </c>
    </row>
    <row r="16" spans="1:11" s="52" customFormat="1" ht="13.5" customHeight="1" hidden="1">
      <c r="A16" s="51"/>
      <c r="B16" s="44" t="s">
        <v>26</v>
      </c>
      <c r="C16" s="45">
        <v>25</v>
      </c>
      <c r="D16" s="36"/>
      <c r="E16" s="46">
        <v>10.5</v>
      </c>
      <c r="F16" s="47">
        <v>4.88</v>
      </c>
      <c r="G16" s="38">
        <f t="shared" si="0"/>
        <v>51.24</v>
      </c>
      <c r="H16" s="41">
        <f t="shared" si="1"/>
        <v>2228.4276</v>
      </c>
      <c r="I16" s="40">
        <v>43490</v>
      </c>
      <c r="J16" s="41"/>
      <c r="K16" s="42" t="s">
        <v>21</v>
      </c>
    </row>
    <row r="17" spans="1:11" s="61" customFormat="1" ht="13.5" customHeight="1" hidden="1">
      <c r="A17" s="15"/>
      <c r="B17" s="53" t="s">
        <v>27</v>
      </c>
      <c r="C17" s="54">
        <v>25</v>
      </c>
      <c r="D17" s="55"/>
      <c r="E17" s="56">
        <v>10.5</v>
      </c>
      <c r="F17" s="57">
        <v>4.88</v>
      </c>
      <c r="G17" s="58">
        <f t="shared" si="0"/>
        <v>51.24</v>
      </c>
      <c r="H17" s="59">
        <f t="shared" si="1"/>
        <v>1473.15</v>
      </c>
      <c r="I17" s="40">
        <v>28750</v>
      </c>
      <c r="J17" s="59"/>
      <c r="K17" s="60" t="s">
        <v>28</v>
      </c>
    </row>
    <row r="18" spans="1:252" s="32" customFormat="1" ht="21" customHeight="1">
      <c r="A18" s="15"/>
      <c r="B18" s="28" t="s">
        <v>29</v>
      </c>
      <c r="C18" s="29"/>
      <c r="D18" s="29"/>
      <c r="E18" s="29"/>
      <c r="F18" s="29"/>
      <c r="G18" s="29"/>
      <c r="H18" s="30"/>
      <c r="I18" s="29"/>
      <c r="J18" s="29"/>
      <c r="K18" s="31"/>
      <c r="L18" s="32">
        <v>268</v>
      </c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</row>
    <row r="19" spans="1:11" s="43" customFormat="1" ht="13.5" customHeight="1" hidden="1">
      <c r="A19" s="15"/>
      <c r="B19" s="34" t="s">
        <v>20</v>
      </c>
      <c r="C19" s="35">
        <v>23</v>
      </c>
      <c r="D19" s="36" t="s">
        <v>30</v>
      </c>
      <c r="E19" s="37">
        <v>6</v>
      </c>
      <c r="F19" s="38">
        <f>1.28*1.03</f>
        <v>1.3184</v>
      </c>
      <c r="G19" s="38">
        <f aca="true" t="shared" si="2" ref="G19:G29">E19*F19</f>
        <v>7.9104</v>
      </c>
      <c r="H19" s="39">
        <f aca="true" t="shared" si="3" ref="H19:H29">I19/(1000/G19)</f>
        <v>458.72409600000003</v>
      </c>
      <c r="I19" s="40">
        <v>57990</v>
      </c>
      <c r="J19" s="41"/>
      <c r="K19" s="62"/>
    </row>
    <row r="20" spans="1:12" s="43" customFormat="1" ht="13.5" customHeight="1">
      <c r="A20" s="15"/>
      <c r="B20" s="34" t="s">
        <v>20</v>
      </c>
      <c r="C20" s="35">
        <v>23</v>
      </c>
      <c r="D20" s="36" t="s">
        <v>30</v>
      </c>
      <c r="E20" s="37">
        <v>7.8</v>
      </c>
      <c r="F20" s="38">
        <f>1.28*1.03</f>
        <v>1.3184</v>
      </c>
      <c r="G20" s="38">
        <f t="shared" si="2"/>
        <v>10.28352</v>
      </c>
      <c r="H20" s="39">
        <f t="shared" si="3"/>
        <v>771.1611647999999</v>
      </c>
      <c r="I20" s="40">
        <v>74990</v>
      </c>
      <c r="J20" s="41"/>
      <c r="K20" s="63"/>
      <c r="L20" s="43">
        <v>268</v>
      </c>
    </row>
    <row r="21" spans="1:11" s="48" customFormat="1" ht="13.5" customHeight="1" hidden="1">
      <c r="A21" s="15"/>
      <c r="B21" s="44" t="s">
        <v>22</v>
      </c>
      <c r="C21" s="45">
        <v>26</v>
      </c>
      <c r="D21" s="36" t="s">
        <v>30</v>
      </c>
      <c r="E21" s="37">
        <v>6</v>
      </c>
      <c r="F21" s="47">
        <f>1.66*1.03</f>
        <v>1.7098</v>
      </c>
      <c r="G21" s="38">
        <f t="shared" si="2"/>
        <v>10.2588</v>
      </c>
      <c r="H21" s="39">
        <f t="shared" si="3"/>
        <v>646.2018120000001</v>
      </c>
      <c r="I21" s="40">
        <v>62990</v>
      </c>
      <c r="J21" s="41"/>
      <c r="K21" s="64"/>
    </row>
    <row r="22" spans="1:11" s="50" customFormat="1" ht="13.5" customHeight="1" hidden="1">
      <c r="A22" s="49"/>
      <c r="B22" s="44" t="s">
        <v>22</v>
      </c>
      <c r="C22" s="45">
        <v>26</v>
      </c>
      <c r="D22" s="36" t="s">
        <v>30</v>
      </c>
      <c r="E22" s="37">
        <v>6</v>
      </c>
      <c r="F22" s="47">
        <f>1.66*1.03</f>
        <v>1.7098</v>
      </c>
      <c r="G22" s="38">
        <f t="shared" si="2"/>
        <v>10.2588</v>
      </c>
      <c r="H22" s="39">
        <f t="shared" si="3"/>
        <v>641.0724120000001</v>
      </c>
      <c r="I22" s="40">
        <v>62490</v>
      </c>
      <c r="J22" s="41"/>
      <c r="K22" s="42"/>
    </row>
    <row r="23" spans="1:12" s="50" customFormat="1" ht="13.5" customHeight="1">
      <c r="A23" s="49"/>
      <c r="B23" s="44" t="s">
        <v>22</v>
      </c>
      <c r="C23" s="45">
        <v>26</v>
      </c>
      <c r="D23" s="36" t="s">
        <v>30</v>
      </c>
      <c r="E23" s="37">
        <v>7.8</v>
      </c>
      <c r="F23" s="47">
        <f>1.66*1.03</f>
        <v>1.7098</v>
      </c>
      <c r="G23" s="38">
        <f t="shared" si="2"/>
        <v>13.33644</v>
      </c>
      <c r="H23" s="41">
        <f t="shared" si="3"/>
        <v>1000.0996355999999</v>
      </c>
      <c r="I23" s="40">
        <v>74990</v>
      </c>
      <c r="J23" s="41"/>
      <c r="K23" s="42"/>
      <c r="L23" s="50">
        <v>268</v>
      </c>
    </row>
    <row r="24" spans="1:11" s="50" customFormat="1" ht="13.5" customHeight="1" hidden="1">
      <c r="A24" s="49"/>
      <c r="B24" s="44" t="s">
        <v>23</v>
      </c>
      <c r="C24" s="45">
        <v>27</v>
      </c>
      <c r="D24" s="36" t="s">
        <v>30</v>
      </c>
      <c r="E24" s="37">
        <v>6</v>
      </c>
      <c r="F24" s="47">
        <f>2.39*1.03</f>
        <v>2.4617</v>
      </c>
      <c r="G24" s="38">
        <f t="shared" si="2"/>
        <v>14.770199999999999</v>
      </c>
      <c r="H24" s="41">
        <f t="shared" si="3"/>
        <v>886.0642979999999</v>
      </c>
      <c r="I24" s="40">
        <v>59990</v>
      </c>
      <c r="J24" s="41"/>
      <c r="K24" s="42"/>
    </row>
    <row r="25" spans="1:12" s="50" customFormat="1" ht="13.5" customHeight="1">
      <c r="A25" s="49"/>
      <c r="B25" s="44" t="s">
        <v>23</v>
      </c>
      <c r="C25" s="45">
        <v>27</v>
      </c>
      <c r="D25" s="36" t="s">
        <v>30</v>
      </c>
      <c r="E25" s="37">
        <v>7.8</v>
      </c>
      <c r="F25" s="47">
        <f>2.39*1.03</f>
        <v>2.4617</v>
      </c>
      <c r="G25" s="38">
        <f t="shared" si="2"/>
        <v>19.20126</v>
      </c>
      <c r="H25" s="41">
        <f t="shared" si="3"/>
        <v>1420.7012274</v>
      </c>
      <c r="I25" s="40">
        <v>73990</v>
      </c>
      <c r="J25" s="41"/>
      <c r="K25" s="42"/>
      <c r="L25" s="50">
        <v>268</v>
      </c>
    </row>
    <row r="26" spans="1:12" s="50" customFormat="1" ht="13.5" customHeight="1">
      <c r="A26" s="49"/>
      <c r="B26" s="44" t="s">
        <v>24</v>
      </c>
      <c r="C26" s="45">
        <v>30</v>
      </c>
      <c r="D26" s="36" t="s">
        <v>30</v>
      </c>
      <c r="E26" s="37">
        <v>6</v>
      </c>
      <c r="F26" s="47">
        <f>3.09*1.03</f>
        <v>3.1827</v>
      </c>
      <c r="G26" s="38">
        <f t="shared" si="2"/>
        <v>19.0962</v>
      </c>
      <c r="H26" s="41">
        <f t="shared" si="3"/>
        <v>1412.927838</v>
      </c>
      <c r="I26" s="40">
        <v>73990</v>
      </c>
      <c r="J26" s="41"/>
      <c r="K26" s="42"/>
      <c r="L26" s="50">
        <v>268</v>
      </c>
    </row>
    <row r="27" spans="1:12" s="52" customFormat="1" ht="13.5" customHeight="1">
      <c r="A27" s="15"/>
      <c r="B27" s="44" t="s">
        <v>25</v>
      </c>
      <c r="C27" s="45">
        <v>33</v>
      </c>
      <c r="D27" s="36" t="s">
        <v>30</v>
      </c>
      <c r="E27" s="37">
        <v>7.8</v>
      </c>
      <c r="F27" s="47">
        <f>3.84*1.03</f>
        <v>3.9552</v>
      </c>
      <c r="G27" s="38">
        <f t="shared" si="2"/>
        <v>30.850559999999998</v>
      </c>
      <c r="H27" s="41">
        <f t="shared" si="3"/>
        <v>2220.9318144</v>
      </c>
      <c r="I27" s="40">
        <v>71990</v>
      </c>
      <c r="J27" s="41"/>
      <c r="K27" s="42" t="s">
        <v>31</v>
      </c>
      <c r="L27" s="52">
        <v>268</v>
      </c>
    </row>
    <row r="28" spans="1:11" s="50" customFormat="1" ht="13.5" customHeight="1" hidden="1">
      <c r="A28" s="49"/>
      <c r="B28" s="44" t="s">
        <v>25</v>
      </c>
      <c r="C28" s="45">
        <v>33</v>
      </c>
      <c r="D28" s="36" t="s">
        <v>30</v>
      </c>
      <c r="E28" s="37">
        <v>7.8</v>
      </c>
      <c r="F28" s="47">
        <f>3.84*1.03</f>
        <v>3.9552</v>
      </c>
      <c r="G28" s="38">
        <f t="shared" si="2"/>
        <v>30.850559999999998</v>
      </c>
      <c r="H28" s="41">
        <f t="shared" si="3"/>
        <v>1943.2767744</v>
      </c>
      <c r="I28" s="40">
        <v>62990</v>
      </c>
      <c r="J28" s="41"/>
      <c r="K28" s="42"/>
    </row>
    <row r="29" spans="1:11" s="52" customFormat="1" ht="13.5" customHeight="1" hidden="1">
      <c r="A29" s="49"/>
      <c r="B29" s="44" t="s">
        <v>26</v>
      </c>
      <c r="C29" s="45">
        <v>33</v>
      </c>
      <c r="D29" s="36" t="s">
        <v>30</v>
      </c>
      <c r="E29" s="37">
        <v>7.8</v>
      </c>
      <c r="F29" s="47">
        <f>4.88*1.03</f>
        <v>5.0264</v>
      </c>
      <c r="G29" s="38">
        <f t="shared" si="2"/>
        <v>39.20592</v>
      </c>
      <c r="H29" s="41">
        <f t="shared" si="3"/>
        <v>2136.3305808</v>
      </c>
      <c r="I29" s="40">
        <v>54490</v>
      </c>
      <c r="J29" s="41"/>
      <c r="K29" s="65"/>
    </row>
    <row r="30" spans="1:252" s="32" customFormat="1" ht="21" customHeight="1">
      <c r="A30" s="15"/>
      <c r="B30" s="28" t="s">
        <v>32</v>
      </c>
      <c r="C30" s="30"/>
      <c r="D30" s="30"/>
      <c r="E30" s="30"/>
      <c r="F30" s="30"/>
      <c r="G30" s="30"/>
      <c r="H30" s="30"/>
      <c r="I30" s="30"/>
      <c r="J30" s="30"/>
      <c r="K30" s="66"/>
      <c r="L30" s="32">
        <v>269</v>
      </c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</row>
    <row r="31" spans="1:12" s="50" customFormat="1" ht="13.5" customHeight="1">
      <c r="A31" s="49"/>
      <c r="B31" s="44" t="s">
        <v>33</v>
      </c>
      <c r="C31" s="45">
        <v>38</v>
      </c>
      <c r="D31" s="36" t="s">
        <v>30</v>
      </c>
      <c r="E31" s="37">
        <v>7.8</v>
      </c>
      <c r="F31" s="47">
        <f>4.62*1.063</f>
        <v>4.91106</v>
      </c>
      <c r="G31" s="38">
        <f aca="true" t="shared" si="4" ref="G31:G44">E31*F31</f>
        <v>38.306267999999996</v>
      </c>
      <c r="H31" s="41">
        <f aca="true" t="shared" si="5" ref="H31:H44">I31/(1000/G31)</f>
        <v>2681.0556973199996</v>
      </c>
      <c r="I31" s="40">
        <v>69990</v>
      </c>
      <c r="J31" s="41"/>
      <c r="K31" s="64"/>
      <c r="L31" s="50">
        <v>269</v>
      </c>
    </row>
    <row r="32" spans="1:11" s="50" customFormat="1" ht="13.5" customHeight="1" hidden="1">
      <c r="A32" s="49"/>
      <c r="B32" s="44" t="s">
        <v>33</v>
      </c>
      <c r="C32" s="45">
        <v>38</v>
      </c>
      <c r="D32" s="36" t="s">
        <v>34</v>
      </c>
      <c r="E32" s="37">
        <v>7.8</v>
      </c>
      <c r="F32" s="47">
        <f>4.62*1.03</f>
        <v>4.7586</v>
      </c>
      <c r="G32" s="38">
        <f t="shared" si="4"/>
        <v>37.11708</v>
      </c>
      <c r="H32" s="41">
        <f t="shared" si="5"/>
        <v>2597.8244292</v>
      </c>
      <c r="I32" s="40">
        <v>69990</v>
      </c>
      <c r="J32" s="41"/>
      <c r="K32" s="42"/>
    </row>
    <row r="33" spans="1:11" s="50" customFormat="1" ht="13.5" customHeight="1" hidden="1">
      <c r="A33" s="49"/>
      <c r="B33" s="44" t="s">
        <v>35</v>
      </c>
      <c r="C33" s="45">
        <v>44</v>
      </c>
      <c r="D33" s="36" t="s">
        <v>30</v>
      </c>
      <c r="E33" s="37">
        <v>6</v>
      </c>
      <c r="F33" s="47">
        <f>6.26*1.03</f>
        <v>6.4478</v>
      </c>
      <c r="G33" s="38">
        <f t="shared" si="4"/>
        <v>38.6868</v>
      </c>
      <c r="H33" s="41">
        <f t="shared" si="5"/>
        <v>2707.689132</v>
      </c>
      <c r="I33" s="40">
        <v>69990</v>
      </c>
      <c r="J33" s="41"/>
      <c r="K33" s="42"/>
    </row>
    <row r="34" spans="1:12" s="50" customFormat="1" ht="13.5" customHeight="1">
      <c r="A34" s="49"/>
      <c r="B34" s="44" t="s">
        <v>35</v>
      </c>
      <c r="C34" s="45">
        <v>44</v>
      </c>
      <c r="D34" s="36" t="s">
        <v>30</v>
      </c>
      <c r="E34" s="37">
        <v>7.8</v>
      </c>
      <c r="F34" s="47">
        <f>6.26*1.03</f>
        <v>6.4478</v>
      </c>
      <c r="G34" s="38">
        <f t="shared" si="4"/>
        <v>50.29284</v>
      </c>
      <c r="H34" s="41">
        <f t="shared" si="5"/>
        <v>3620.5815516</v>
      </c>
      <c r="I34" s="40">
        <v>71990</v>
      </c>
      <c r="J34" s="41"/>
      <c r="K34" s="42"/>
      <c r="L34" s="50">
        <v>269</v>
      </c>
    </row>
    <row r="35" spans="1:11" s="50" customFormat="1" ht="13.5" customHeight="1" hidden="1">
      <c r="A35" s="49"/>
      <c r="B35" s="44" t="s">
        <v>35</v>
      </c>
      <c r="C35" s="45">
        <v>44</v>
      </c>
      <c r="D35" s="36" t="s">
        <v>30</v>
      </c>
      <c r="E35" s="37">
        <v>11</v>
      </c>
      <c r="F35" s="47">
        <f>6.26*1.03</f>
        <v>6.4478</v>
      </c>
      <c r="G35" s="38">
        <f t="shared" si="4"/>
        <v>70.9258</v>
      </c>
      <c r="H35" s="41">
        <f t="shared" si="5"/>
        <v>4893.170942</v>
      </c>
      <c r="I35" s="40">
        <v>68990</v>
      </c>
      <c r="J35" s="41"/>
      <c r="K35" s="42"/>
    </row>
    <row r="36" spans="1:11" s="50" customFormat="1" ht="13.5" customHeight="1" hidden="1">
      <c r="A36" s="15"/>
      <c r="B36" s="44" t="s">
        <v>36</v>
      </c>
      <c r="C36" s="45">
        <v>50</v>
      </c>
      <c r="D36" s="36" t="s">
        <v>30</v>
      </c>
      <c r="E36" s="37">
        <v>6</v>
      </c>
      <c r="F36" s="47">
        <f>7.38*1.066</f>
        <v>7.8670800000000005</v>
      </c>
      <c r="G36" s="38">
        <f t="shared" si="4"/>
        <v>47.20248</v>
      </c>
      <c r="H36" s="41">
        <f t="shared" si="5"/>
        <v>3256.4990952</v>
      </c>
      <c r="I36" s="40">
        <v>68990</v>
      </c>
      <c r="J36" s="41"/>
      <c r="K36" s="64"/>
    </row>
    <row r="37" spans="1:12" s="50" customFormat="1" ht="14.25" customHeight="1">
      <c r="A37" s="15"/>
      <c r="B37" s="44" t="s">
        <v>36</v>
      </c>
      <c r="C37" s="45">
        <v>50</v>
      </c>
      <c r="D37" s="36" t="s">
        <v>30</v>
      </c>
      <c r="E37" s="37">
        <v>7.8</v>
      </c>
      <c r="F37" s="47">
        <f>7.38*1.03</f>
        <v>7.6014</v>
      </c>
      <c r="G37" s="38">
        <f t="shared" si="4"/>
        <v>59.29092</v>
      </c>
      <c r="H37" s="41">
        <f t="shared" si="5"/>
        <v>4149.7714908</v>
      </c>
      <c r="I37" s="40">
        <v>69990</v>
      </c>
      <c r="J37" s="41"/>
      <c r="K37" s="42"/>
      <c r="L37" s="50">
        <v>269</v>
      </c>
    </row>
    <row r="38" spans="1:12" s="50" customFormat="1" ht="14.25" customHeight="1">
      <c r="A38" s="49"/>
      <c r="B38" s="44" t="s">
        <v>36</v>
      </c>
      <c r="C38" s="45">
        <v>50</v>
      </c>
      <c r="D38" s="36" t="s">
        <v>34</v>
      </c>
      <c r="E38" s="37">
        <v>11</v>
      </c>
      <c r="F38" s="47">
        <f>7.38*1.03</f>
        <v>7.6014</v>
      </c>
      <c r="G38" s="38">
        <f t="shared" si="4"/>
        <v>83.6154</v>
      </c>
      <c r="H38" s="41">
        <f t="shared" si="5"/>
        <v>5852.241846</v>
      </c>
      <c r="I38" s="40">
        <v>69990</v>
      </c>
      <c r="J38" s="41"/>
      <c r="K38" s="42"/>
      <c r="L38" s="50">
        <v>269</v>
      </c>
    </row>
    <row r="39" spans="1:11" s="50" customFormat="1" ht="14.25" customHeight="1" hidden="1">
      <c r="A39" s="49"/>
      <c r="B39" s="44" t="s">
        <v>36</v>
      </c>
      <c r="C39" s="45">
        <v>50</v>
      </c>
      <c r="D39" s="36" t="s">
        <v>34</v>
      </c>
      <c r="E39" s="37">
        <v>10.5</v>
      </c>
      <c r="F39" s="47">
        <f>7.38*1.03</f>
        <v>7.6014</v>
      </c>
      <c r="G39" s="38">
        <f t="shared" si="4"/>
        <v>79.8147</v>
      </c>
      <c r="H39" s="41">
        <f t="shared" si="5"/>
        <v>4907.805903</v>
      </c>
      <c r="I39" s="40">
        <v>61490</v>
      </c>
      <c r="J39" s="41"/>
      <c r="K39" s="42"/>
    </row>
    <row r="40" spans="1:11" s="50" customFormat="1" ht="13.5" customHeight="1" hidden="1">
      <c r="A40" s="49"/>
      <c r="B40" s="44" t="s">
        <v>37</v>
      </c>
      <c r="C40" s="45">
        <v>80</v>
      </c>
      <c r="D40" s="36" t="s">
        <v>30</v>
      </c>
      <c r="E40" s="37">
        <v>6</v>
      </c>
      <c r="F40" s="47">
        <f>9.02*1.03</f>
        <v>9.2906</v>
      </c>
      <c r="G40" s="38">
        <f t="shared" si="4"/>
        <v>55.7436</v>
      </c>
      <c r="H40" s="41">
        <f t="shared" si="5"/>
        <v>3567.032964</v>
      </c>
      <c r="I40" s="40">
        <v>63990</v>
      </c>
      <c r="J40" s="41"/>
      <c r="K40" s="42"/>
    </row>
    <row r="41" spans="1:12" s="50" customFormat="1" ht="13.5" customHeight="1">
      <c r="A41" s="49"/>
      <c r="B41" s="44" t="s">
        <v>37</v>
      </c>
      <c r="C41" s="45">
        <v>80</v>
      </c>
      <c r="D41" s="36" t="s">
        <v>30</v>
      </c>
      <c r="E41" s="37">
        <v>7.8</v>
      </c>
      <c r="F41" s="47">
        <f>9.02*1.03</f>
        <v>9.2906</v>
      </c>
      <c r="G41" s="38">
        <f t="shared" si="4"/>
        <v>72.46668</v>
      </c>
      <c r="H41" s="41">
        <f t="shared" si="5"/>
        <v>4927.0095732</v>
      </c>
      <c r="I41" s="40">
        <v>67990</v>
      </c>
      <c r="J41" s="41"/>
      <c r="K41" s="42"/>
      <c r="L41" s="50">
        <v>269</v>
      </c>
    </row>
    <row r="42" spans="1:12" s="50" customFormat="1" ht="13.5" customHeight="1">
      <c r="A42" s="49"/>
      <c r="B42" s="44" t="s">
        <v>38</v>
      </c>
      <c r="C42" s="45">
        <v>80</v>
      </c>
      <c r="D42" s="36" t="s">
        <v>30</v>
      </c>
      <c r="E42" s="37">
        <v>7.8</v>
      </c>
      <c r="F42" s="47">
        <f>10.26*1.03</f>
        <v>10.5678</v>
      </c>
      <c r="G42" s="38">
        <f t="shared" si="4"/>
        <v>82.42884</v>
      </c>
      <c r="H42" s="41">
        <f t="shared" si="5"/>
        <v>5604.3368316</v>
      </c>
      <c r="I42" s="40">
        <v>67990</v>
      </c>
      <c r="J42" s="41"/>
      <c r="K42" s="42"/>
      <c r="L42" s="50">
        <v>269</v>
      </c>
    </row>
    <row r="43" spans="1:11" s="50" customFormat="1" ht="13.5" customHeight="1" hidden="1">
      <c r="A43" s="15"/>
      <c r="B43" s="44" t="s">
        <v>39</v>
      </c>
      <c r="C43" s="45">
        <v>85</v>
      </c>
      <c r="D43" s="36" t="s">
        <v>30</v>
      </c>
      <c r="E43" s="37">
        <v>7.8</v>
      </c>
      <c r="F43" s="47">
        <f>14.26*1.031</f>
        <v>14.70206</v>
      </c>
      <c r="G43" s="38">
        <f t="shared" si="4"/>
        <v>114.67606799999999</v>
      </c>
      <c r="H43" s="41">
        <f t="shared" si="5"/>
        <v>6306.03697932</v>
      </c>
      <c r="I43" s="40">
        <v>54990</v>
      </c>
      <c r="J43" s="41"/>
      <c r="K43" s="67"/>
    </row>
    <row r="44" spans="1:11" s="50" customFormat="1" ht="13.5" customHeight="1" hidden="1">
      <c r="A44" s="15"/>
      <c r="B44" s="44" t="s">
        <v>40</v>
      </c>
      <c r="C44" s="45">
        <v>99</v>
      </c>
      <c r="D44" s="36" t="s">
        <v>30</v>
      </c>
      <c r="E44" s="37">
        <v>7.8</v>
      </c>
      <c r="F44" s="47">
        <f>17.15*1.03</f>
        <v>17.6645</v>
      </c>
      <c r="G44" s="38">
        <f t="shared" si="4"/>
        <v>137.7831</v>
      </c>
      <c r="H44" s="41">
        <f t="shared" si="5"/>
        <v>6887.777169</v>
      </c>
      <c r="I44" s="40">
        <v>49990</v>
      </c>
      <c r="J44" s="41"/>
      <c r="K44" s="67"/>
    </row>
    <row r="45" spans="1:252" s="32" customFormat="1" ht="21" customHeight="1">
      <c r="A45" s="15"/>
      <c r="B45" s="28" t="s">
        <v>41</v>
      </c>
      <c r="C45" s="30"/>
      <c r="D45" s="30"/>
      <c r="E45" s="30"/>
      <c r="F45" s="30"/>
      <c r="G45" s="30"/>
      <c r="H45" s="30"/>
      <c r="I45" s="30"/>
      <c r="J45" s="30"/>
      <c r="K45" s="66"/>
      <c r="L45" s="32">
        <v>270</v>
      </c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</row>
    <row r="46" spans="1:11" s="50" customFormat="1" ht="13.5" customHeight="1" hidden="1">
      <c r="A46" s="49"/>
      <c r="B46" s="68" t="s">
        <v>42</v>
      </c>
      <c r="C46" s="69"/>
      <c r="D46" s="36" t="s">
        <v>34</v>
      </c>
      <c r="E46" s="70">
        <v>6</v>
      </c>
      <c r="F46" s="38"/>
      <c r="G46" s="38">
        <v>8.06</v>
      </c>
      <c r="H46" s="41">
        <f>I46/(1000/G46)</f>
        <v>298.1394</v>
      </c>
      <c r="I46" s="40">
        <v>36990</v>
      </c>
      <c r="J46" s="41"/>
      <c r="K46" s="42" t="s">
        <v>43</v>
      </c>
    </row>
    <row r="47" spans="1:11" s="50" customFormat="1" ht="13.5" customHeight="1" hidden="1">
      <c r="A47" s="49"/>
      <c r="B47" s="68" t="s">
        <v>44</v>
      </c>
      <c r="C47" s="69"/>
      <c r="D47" s="36" t="s">
        <v>34</v>
      </c>
      <c r="E47" s="70">
        <v>6</v>
      </c>
      <c r="F47" s="38"/>
      <c r="G47" s="38">
        <v>9.47</v>
      </c>
      <c r="H47" s="41">
        <f>I47/(1000/G47)</f>
        <v>340.8253</v>
      </c>
      <c r="I47" s="40">
        <v>35990</v>
      </c>
      <c r="J47" s="41"/>
      <c r="K47" s="42" t="s">
        <v>43</v>
      </c>
    </row>
    <row r="48" spans="1:11" s="50" customFormat="1" ht="13.5" customHeight="1" hidden="1">
      <c r="A48" s="49"/>
      <c r="B48" s="68" t="s">
        <v>45</v>
      </c>
      <c r="C48" s="69"/>
      <c r="D48" s="36" t="s">
        <v>34</v>
      </c>
      <c r="E48" s="70">
        <v>6</v>
      </c>
      <c r="F48" s="38"/>
      <c r="G48" s="38">
        <v>13</v>
      </c>
      <c r="H48" s="41">
        <v>450</v>
      </c>
      <c r="I48" s="40"/>
      <c r="J48" s="41"/>
      <c r="K48" s="42"/>
    </row>
    <row r="49" spans="1:11" s="75" customFormat="1" ht="13.5" customHeight="1" hidden="1">
      <c r="A49" s="15"/>
      <c r="B49" s="71" t="s">
        <v>46</v>
      </c>
      <c r="C49" s="72">
        <v>25</v>
      </c>
      <c r="D49" s="55" t="s">
        <v>34</v>
      </c>
      <c r="E49" s="73">
        <v>5.9</v>
      </c>
      <c r="F49" s="58">
        <v>4.62</v>
      </c>
      <c r="G49" s="58">
        <f>E49*F49</f>
        <v>27.258000000000003</v>
      </c>
      <c r="H49" s="59">
        <f>I49/(1000/G49)</f>
        <v>681.1774200000001</v>
      </c>
      <c r="I49" s="74">
        <v>24990</v>
      </c>
      <c r="J49" s="59"/>
      <c r="K49" s="60" t="s">
        <v>28</v>
      </c>
    </row>
    <row r="50" spans="1:11" s="75" customFormat="1" ht="13.5" customHeight="1" hidden="1">
      <c r="A50" s="15"/>
      <c r="B50" s="71" t="s">
        <v>46</v>
      </c>
      <c r="C50" s="72">
        <v>25</v>
      </c>
      <c r="D50" s="55" t="s">
        <v>34</v>
      </c>
      <c r="E50" s="73">
        <v>10.5</v>
      </c>
      <c r="F50" s="58">
        <v>4.62</v>
      </c>
      <c r="G50" s="58">
        <f>E50*F50</f>
        <v>48.51</v>
      </c>
      <c r="H50" s="59">
        <f>I50/(1000/G50)</f>
        <v>1212.2649</v>
      </c>
      <c r="I50" s="74">
        <v>24990</v>
      </c>
      <c r="J50" s="59"/>
      <c r="K50" s="60"/>
    </row>
    <row r="51" spans="1:12" s="50" customFormat="1" ht="13.5" customHeight="1">
      <c r="A51" s="49"/>
      <c r="B51" s="76" t="s">
        <v>33</v>
      </c>
      <c r="C51" s="69">
        <v>25</v>
      </c>
      <c r="D51" s="36" t="s">
        <v>34</v>
      </c>
      <c r="E51" s="70">
        <v>10.5</v>
      </c>
      <c r="F51" s="38">
        <v>4.62</v>
      </c>
      <c r="G51" s="38">
        <f>E51*F51</f>
        <v>48.51</v>
      </c>
      <c r="H51" s="41">
        <f>I51/(1000/G51)</f>
        <v>2182.4649</v>
      </c>
      <c r="I51" s="40">
        <v>44990</v>
      </c>
      <c r="J51" s="41">
        <f aca="true" t="shared" si="6" ref="J51:J56">I51-240</f>
        <v>44750</v>
      </c>
      <c r="K51" s="42"/>
      <c r="L51" s="50">
        <v>270</v>
      </c>
    </row>
    <row r="52" spans="1:11" s="87" customFormat="1" ht="15.75" customHeight="1" hidden="1">
      <c r="A52" s="77">
        <v>10</v>
      </c>
      <c r="B52" s="78" t="s">
        <v>47</v>
      </c>
      <c r="C52" s="79">
        <v>25</v>
      </c>
      <c r="D52" s="80" t="s">
        <v>34</v>
      </c>
      <c r="E52" s="81" t="s">
        <v>48</v>
      </c>
      <c r="F52" s="82">
        <v>4.88</v>
      </c>
      <c r="G52" s="83"/>
      <c r="H52" s="84"/>
      <c r="I52" s="85">
        <v>19990</v>
      </c>
      <c r="J52" s="84">
        <f t="shared" si="6"/>
        <v>19750</v>
      </c>
      <c r="K52" s="86" t="s">
        <v>49</v>
      </c>
    </row>
    <row r="53" spans="1:11" s="91" customFormat="1" ht="13.5" customHeight="1" hidden="1">
      <c r="A53" s="88">
        <v>10</v>
      </c>
      <c r="B53" s="89" t="s">
        <v>50</v>
      </c>
      <c r="C53" s="90">
        <v>29</v>
      </c>
      <c r="D53" s="55" t="s">
        <v>34</v>
      </c>
      <c r="E53" s="56">
        <v>11.4</v>
      </c>
      <c r="F53" s="57">
        <v>5.4</v>
      </c>
      <c r="G53" s="58">
        <f>E53*F53</f>
        <v>61.56000000000001</v>
      </c>
      <c r="H53" s="59">
        <f>I53/(1000/G53)</f>
        <v>2246.3244</v>
      </c>
      <c r="I53" s="40">
        <v>36490</v>
      </c>
      <c r="J53" s="41">
        <f t="shared" si="6"/>
        <v>36250</v>
      </c>
      <c r="K53" s="89" t="s">
        <v>51</v>
      </c>
    </row>
    <row r="54" spans="1:11" s="95" customFormat="1" ht="15.75" customHeight="1" hidden="1">
      <c r="A54" s="88"/>
      <c r="B54" s="92" t="s">
        <v>52</v>
      </c>
      <c r="C54" s="79">
        <v>29</v>
      </c>
      <c r="D54" s="80"/>
      <c r="E54" s="93" t="s">
        <v>53</v>
      </c>
      <c r="F54" s="82">
        <v>9.6</v>
      </c>
      <c r="G54" s="83">
        <f>E54*F54</f>
        <v>100.8</v>
      </c>
      <c r="H54" s="84">
        <f>I54/(1000/G54)</f>
        <v>2115.792</v>
      </c>
      <c r="I54" s="85">
        <v>20990</v>
      </c>
      <c r="J54" s="84">
        <f t="shared" si="6"/>
        <v>20750</v>
      </c>
      <c r="K54" s="94" t="s">
        <v>28</v>
      </c>
    </row>
    <row r="55" spans="1:12" s="50" customFormat="1" ht="13.5" customHeight="1">
      <c r="A55" s="49">
        <v>10</v>
      </c>
      <c r="B55" s="44" t="s">
        <v>35</v>
      </c>
      <c r="C55" s="45">
        <v>29</v>
      </c>
      <c r="D55" s="36" t="s">
        <v>34</v>
      </c>
      <c r="E55" s="46">
        <v>10.5</v>
      </c>
      <c r="F55" s="47">
        <v>6.26</v>
      </c>
      <c r="G55" s="38">
        <f>E55*F55</f>
        <v>65.73</v>
      </c>
      <c r="H55" s="41">
        <f>I55/(1000/G55)</f>
        <v>2957.1927</v>
      </c>
      <c r="I55" s="40">
        <v>44990</v>
      </c>
      <c r="J55" s="41">
        <f t="shared" si="6"/>
        <v>44750</v>
      </c>
      <c r="K55" s="42"/>
      <c r="L55" s="50">
        <v>270</v>
      </c>
    </row>
    <row r="56" spans="1:12" s="100" customFormat="1" ht="15.75" customHeight="1">
      <c r="A56" s="96">
        <v>10</v>
      </c>
      <c r="B56" s="97" t="s">
        <v>54</v>
      </c>
      <c r="C56" s="98">
        <v>29</v>
      </c>
      <c r="D56" s="80" t="s">
        <v>34</v>
      </c>
      <c r="E56" s="81" t="s">
        <v>48</v>
      </c>
      <c r="F56" s="82">
        <v>7.1</v>
      </c>
      <c r="G56" s="83"/>
      <c r="H56" s="84"/>
      <c r="I56" s="85">
        <v>21990</v>
      </c>
      <c r="J56" s="84">
        <f t="shared" si="6"/>
        <v>21750</v>
      </c>
      <c r="K56" s="99" t="s">
        <v>49</v>
      </c>
      <c r="L56" s="100">
        <v>270</v>
      </c>
    </row>
    <row r="57" spans="1:12" s="61" customFormat="1" ht="13.5" customHeight="1">
      <c r="A57" s="15"/>
      <c r="B57" s="53" t="s">
        <v>55</v>
      </c>
      <c r="C57" s="54">
        <v>33</v>
      </c>
      <c r="D57" s="55"/>
      <c r="E57" s="101" t="s">
        <v>56</v>
      </c>
      <c r="F57" s="57">
        <v>7.38</v>
      </c>
      <c r="G57" s="58">
        <f aca="true" t="shared" si="7" ref="G57:G76">E57*F57</f>
        <v>44.28</v>
      </c>
      <c r="H57" s="59">
        <f aca="true" t="shared" si="8" ref="H57:H76">I57/(1000/G57)</f>
        <v>1770.7572000000002</v>
      </c>
      <c r="I57" s="74">
        <v>39990</v>
      </c>
      <c r="J57" s="41"/>
      <c r="K57" s="60" t="s">
        <v>28</v>
      </c>
      <c r="L57" s="61">
        <v>270</v>
      </c>
    </row>
    <row r="58" spans="1:12" s="61" customFormat="1" ht="13.5" customHeight="1">
      <c r="A58" s="15"/>
      <c r="B58" s="53" t="s">
        <v>55</v>
      </c>
      <c r="C58" s="54">
        <v>33</v>
      </c>
      <c r="D58" s="55"/>
      <c r="E58" s="101" t="s">
        <v>53</v>
      </c>
      <c r="F58" s="57">
        <v>7.38</v>
      </c>
      <c r="G58" s="58">
        <f t="shared" si="7"/>
        <v>77.49</v>
      </c>
      <c r="H58" s="59">
        <f t="shared" si="8"/>
        <v>3098.8251</v>
      </c>
      <c r="I58" s="74">
        <v>39990</v>
      </c>
      <c r="J58" s="41"/>
      <c r="K58" s="60" t="s">
        <v>28</v>
      </c>
      <c r="L58" s="61">
        <v>270</v>
      </c>
    </row>
    <row r="59" spans="1:11" s="50" customFormat="1" ht="13.5" customHeight="1" hidden="1">
      <c r="A59" s="49"/>
      <c r="B59" s="44" t="s">
        <v>36</v>
      </c>
      <c r="C59" s="45">
        <v>33</v>
      </c>
      <c r="D59" s="36" t="s">
        <v>34</v>
      </c>
      <c r="E59" s="46">
        <v>10</v>
      </c>
      <c r="F59" s="47">
        <v>7.38</v>
      </c>
      <c r="G59" s="38">
        <f t="shared" si="7"/>
        <v>73.8</v>
      </c>
      <c r="H59" s="41">
        <f t="shared" si="8"/>
        <v>2951.262</v>
      </c>
      <c r="I59" s="40">
        <v>39990</v>
      </c>
      <c r="J59" s="41">
        <f>I59-260</f>
        <v>39730</v>
      </c>
      <c r="K59" s="42"/>
    </row>
    <row r="60" spans="1:12" s="50" customFormat="1" ht="13.5" customHeight="1">
      <c r="A60" s="49"/>
      <c r="B60" s="44" t="s">
        <v>36</v>
      </c>
      <c r="C60" s="45">
        <v>33</v>
      </c>
      <c r="D60" s="36" t="s">
        <v>34</v>
      </c>
      <c r="E60" s="46">
        <v>10.5</v>
      </c>
      <c r="F60" s="47">
        <v>7.38</v>
      </c>
      <c r="G60" s="38">
        <f t="shared" si="7"/>
        <v>77.49</v>
      </c>
      <c r="H60" s="41">
        <f t="shared" si="8"/>
        <v>3486.2751</v>
      </c>
      <c r="I60" s="40">
        <v>44990</v>
      </c>
      <c r="J60" s="41">
        <f>I60-240</f>
        <v>44750</v>
      </c>
      <c r="K60" s="42"/>
      <c r="L60" s="50">
        <v>270</v>
      </c>
    </row>
    <row r="61" spans="1:11" s="61" customFormat="1" ht="13.5" customHeight="1" hidden="1">
      <c r="A61" s="15"/>
      <c r="B61" s="71" t="s">
        <v>57</v>
      </c>
      <c r="C61" s="72">
        <v>53</v>
      </c>
      <c r="D61" s="55"/>
      <c r="E61" s="101" t="s">
        <v>58</v>
      </c>
      <c r="F61" s="58">
        <v>10.26</v>
      </c>
      <c r="G61" s="58">
        <f t="shared" si="7"/>
        <v>116.964</v>
      </c>
      <c r="H61" s="59">
        <f t="shared" si="8"/>
        <v>4532.3550000000005</v>
      </c>
      <c r="I61" s="40">
        <v>38750</v>
      </c>
      <c r="J61" s="41">
        <f>I61-260</f>
        <v>38490</v>
      </c>
      <c r="K61" s="102" t="s">
        <v>51</v>
      </c>
    </row>
    <row r="62" spans="1:12" s="50" customFormat="1" ht="14.25" customHeight="1">
      <c r="A62" s="49"/>
      <c r="B62" s="76" t="s">
        <v>37</v>
      </c>
      <c r="C62" s="69">
        <v>53</v>
      </c>
      <c r="D62" s="36" t="s">
        <v>34</v>
      </c>
      <c r="E62" s="46">
        <v>10.5</v>
      </c>
      <c r="F62" s="38">
        <v>9.02</v>
      </c>
      <c r="G62" s="38">
        <f t="shared" si="7"/>
        <v>94.71</v>
      </c>
      <c r="H62" s="41">
        <f t="shared" si="8"/>
        <v>4261.0028999999995</v>
      </c>
      <c r="I62" s="40">
        <v>44990</v>
      </c>
      <c r="J62" s="41">
        <f>I62-240</f>
        <v>44750</v>
      </c>
      <c r="K62" s="42"/>
      <c r="L62" s="61">
        <v>270</v>
      </c>
    </row>
    <row r="63" spans="1:11" s="50" customFormat="1" ht="14.25" customHeight="1" hidden="1">
      <c r="A63" s="49"/>
      <c r="B63" s="76" t="s">
        <v>37</v>
      </c>
      <c r="C63" s="69">
        <v>53</v>
      </c>
      <c r="D63" s="36" t="s">
        <v>34</v>
      </c>
      <c r="E63" s="46">
        <v>12</v>
      </c>
      <c r="F63" s="38">
        <v>9.02</v>
      </c>
      <c r="G63" s="38">
        <f t="shared" si="7"/>
        <v>108.24</v>
      </c>
      <c r="H63" s="41">
        <f t="shared" si="8"/>
        <v>5140.3176</v>
      </c>
      <c r="I63" s="40">
        <v>47490</v>
      </c>
      <c r="J63" s="41">
        <f>I63-240</f>
        <v>47250</v>
      </c>
      <c r="K63" s="42"/>
    </row>
    <row r="64" spans="1:11" s="50" customFormat="1" ht="14.25" customHeight="1" hidden="1">
      <c r="A64" s="15"/>
      <c r="B64" s="76" t="s">
        <v>37</v>
      </c>
      <c r="C64" s="69">
        <v>15</v>
      </c>
      <c r="D64" s="36" t="s">
        <v>34</v>
      </c>
      <c r="E64" s="46">
        <v>11.4</v>
      </c>
      <c r="F64" s="38">
        <v>9.02</v>
      </c>
      <c r="G64" s="38">
        <f t="shared" si="7"/>
        <v>102.828</v>
      </c>
      <c r="H64" s="41">
        <f t="shared" si="8"/>
        <v>4883.30172</v>
      </c>
      <c r="I64" s="40">
        <v>47490</v>
      </c>
      <c r="J64" s="41">
        <f>I64-240</f>
        <v>47250</v>
      </c>
      <c r="K64" s="64"/>
    </row>
    <row r="65" spans="1:11" s="52" customFormat="1" ht="13.5" customHeight="1" hidden="1">
      <c r="A65" s="15"/>
      <c r="B65" s="44" t="s">
        <v>59</v>
      </c>
      <c r="C65" s="45">
        <v>67</v>
      </c>
      <c r="D65" s="36" t="s">
        <v>34</v>
      </c>
      <c r="E65" s="46">
        <v>11.4</v>
      </c>
      <c r="F65" s="47">
        <v>12.73</v>
      </c>
      <c r="G65" s="38">
        <f t="shared" si="7"/>
        <v>145.122</v>
      </c>
      <c r="H65" s="41">
        <f t="shared" si="8"/>
        <v>6891.843780000001</v>
      </c>
      <c r="I65" s="40">
        <v>47490</v>
      </c>
      <c r="J65" s="41">
        <f>I65-240</f>
        <v>47250</v>
      </c>
      <c r="K65" s="64"/>
    </row>
    <row r="66" spans="1:11" s="52" customFormat="1" ht="13.5" customHeight="1" hidden="1">
      <c r="A66" s="15"/>
      <c r="B66" s="44" t="s">
        <v>39</v>
      </c>
      <c r="C66" s="45">
        <v>67</v>
      </c>
      <c r="D66" s="36" t="s">
        <v>60</v>
      </c>
      <c r="E66" s="46">
        <v>11.4</v>
      </c>
      <c r="F66" s="47">
        <v>14.26</v>
      </c>
      <c r="G66" s="38">
        <f t="shared" si="7"/>
        <v>162.564</v>
      </c>
      <c r="H66" s="41">
        <f t="shared" si="8"/>
        <v>7720.16436</v>
      </c>
      <c r="I66" s="40">
        <v>47490</v>
      </c>
      <c r="J66" s="41">
        <f>I66-240</f>
        <v>47250</v>
      </c>
      <c r="K66" s="64"/>
    </row>
    <row r="67" spans="1:12" s="52" customFormat="1" ht="13.5" customHeight="1">
      <c r="A67" s="15"/>
      <c r="B67" s="44" t="s">
        <v>39</v>
      </c>
      <c r="C67" s="45">
        <v>67</v>
      </c>
      <c r="D67" s="36" t="s">
        <v>60</v>
      </c>
      <c r="E67" s="46">
        <v>12</v>
      </c>
      <c r="F67" s="47">
        <v>14.26</v>
      </c>
      <c r="G67" s="38">
        <f t="shared" si="7"/>
        <v>171.12</v>
      </c>
      <c r="H67" s="41">
        <f t="shared" si="8"/>
        <v>7955.3688</v>
      </c>
      <c r="I67" s="40">
        <v>46490</v>
      </c>
      <c r="J67" s="41"/>
      <c r="K67" s="42"/>
      <c r="L67" s="52">
        <v>270</v>
      </c>
    </row>
    <row r="68" spans="1:11" s="52" customFormat="1" ht="13.5" customHeight="1" hidden="1">
      <c r="A68" s="15"/>
      <c r="B68" s="44" t="s">
        <v>61</v>
      </c>
      <c r="C68" s="45">
        <v>20</v>
      </c>
      <c r="D68" s="36" t="s">
        <v>62</v>
      </c>
      <c r="E68" s="46">
        <v>11.7</v>
      </c>
      <c r="F68" s="47">
        <v>15.78</v>
      </c>
      <c r="G68" s="38">
        <f t="shared" si="7"/>
        <v>184.62599999999998</v>
      </c>
      <c r="H68" s="41">
        <f t="shared" si="8"/>
        <v>7752.445739999999</v>
      </c>
      <c r="I68" s="40">
        <v>41990</v>
      </c>
      <c r="J68" s="41">
        <f>I68-240</f>
        <v>41750</v>
      </c>
      <c r="K68" s="64"/>
    </row>
    <row r="69" spans="1:12" s="75" customFormat="1" ht="13.5" customHeight="1">
      <c r="A69" s="15"/>
      <c r="B69" s="103" t="s">
        <v>63</v>
      </c>
      <c r="C69" s="54">
        <v>81</v>
      </c>
      <c r="D69" s="55" t="s">
        <v>60</v>
      </c>
      <c r="E69" s="56">
        <v>12</v>
      </c>
      <c r="F69" s="57">
        <v>13.42</v>
      </c>
      <c r="G69" s="58">
        <f t="shared" si="7"/>
        <v>161.04</v>
      </c>
      <c r="H69" s="59">
        <f t="shared" si="8"/>
        <v>7164.6696</v>
      </c>
      <c r="I69" s="74">
        <v>44490</v>
      </c>
      <c r="J69" s="59"/>
      <c r="K69" s="102"/>
      <c r="L69" s="75">
        <v>270</v>
      </c>
    </row>
    <row r="70" spans="1:12" s="48" customFormat="1" ht="13.5" customHeight="1">
      <c r="A70" s="15"/>
      <c r="B70" s="44" t="s">
        <v>40</v>
      </c>
      <c r="C70" s="45">
        <v>81</v>
      </c>
      <c r="D70" s="36" t="s">
        <v>60</v>
      </c>
      <c r="E70" s="46">
        <v>12</v>
      </c>
      <c r="F70" s="47">
        <v>17.15</v>
      </c>
      <c r="G70" s="38">
        <f t="shared" si="7"/>
        <v>205.79999999999998</v>
      </c>
      <c r="H70" s="41">
        <f t="shared" si="8"/>
        <v>9258.942</v>
      </c>
      <c r="I70" s="40">
        <v>44990</v>
      </c>
      <c r="J70" s="41"/>
      <c r="K70" s="64"/>
      <c r="L70" s="48">
        <v>270</v>
      </c>
    </row>
    <row r="71" spans="1:11" s="52" customFormat="1" ht="13.5" customHeight="1" hidden="1">
      <c r="A71" s="49"/>
      <c r="B71" s="44" t="s">
        <v>64</v>
      </c>
      <c r="C71" s="45">
        <v>90</v>
      </c>
      <c r="D71" s="36">
        <v>20</v>
      </c>
      <c r="E71" s="104" t="s">
        <v>65</v>
      </c>
      <c r="F71" s="47">
        <v>26.39</v>
      </c>
      <c r="G71" s="38">
        <f t="shared" si="7"/>
        <v>308.4991</v>
      </c>
      <c r="H71" s="41">
        <f t="shared" si="8"/>
        <v>10640.133959</v>
      </c>
      <c r="I71" s="40">
        <v>34490</v>
      </c>
      <c r="J71" s="41">
        <f>I71-240</f>
        <v>34250</v>
      </c>
      <c r="K71" s="64"/>
    </row>
    <row r="72" spans="1:12" s="52" customFormat="1" ht="13.5" customHeight="1">
      <c r="A72" s="49"/>
      <c r="B72" s="44" t="s">
        <v>66</v>
      </c>
      <c r="C72" s="45">
        <v>95</v>
      </c>
      <c r="D72" s="36">
        <v>20</v>
      </c>
      <c r="E72" s="104" t="s">
        <v>67</v>
      </c>
      <c r="F72" s="47">
        <v>31.52</v>
      </c>
      <c r="G72" s="38">
        <f t="shared" si="7"/>
        <v>365.632</v>
      </c>
      <c r="H72" s="41">
        <f t="shared" si="8"/>
        <v>19740.47168</v>
      </c>
      <c r="I72" s="40">
        <v>53990</v>
      </c>
      <c r="J72" s="41"/>
      <c r="K72" s="42"/>
      <c r="L72" s="52">
        <v>270</v>
      </c>
    </row>
    <row r="73" spans="1:11" s="52" customFormat="1" ht="13.5" customHeight="1" hidden="1">
      <c r="A73" s="49"/>
      <c r="B73" s="44" t="s">
        <v>68</v>
      </c>
      <c r="C73" s="45">
        <v>95</v>
      </c>
      <c r="D73" s="36">
        <v>20</v>
      </c>
      <c r="E73" s="104" t="s">
        <v>48</v>
      </c>
      <c r="F73" s="47">
        <v>36.6</v>
      </c>
      <c r="G73" s="38" t="e">
        <f t="shared" si="7"/>
        <v>#VALUE!</v>
      </c>
      <c r="H73" s="41" t="e">
        <f t="shared" si="8"/>
        <v>#VALUE!</v>
      </c>
      <c r="I73" s="40">
        <v>29990</v>
      </c>
      <c r="J73" s="41"/>
      <c r="K73" s="42"/>
    </row>
    <row r="74" spans="1:11" s="75" customFormat="1" ht="13.5" customHeight="1" hidden="1">
      <c r="A74" s="15"/>
      <c r="B74" s="105" t="s">
        <v>69</v>
      </c>
      <c r="C74" s="106"/>
      <c r="D74" s="55"/>
      <c r="E74" s="101" t="s">
        <v>70</v>
      </c>
      <c r="F74" s="57">
        <v>33.05</v>
      </c>
      <c r="G74" s="38">
        <f t="shared" si="7"/>
        <v>191.68999999999997</v>
      </c>
      <c r="H74" s="41">
        <f t="shared" si="8"/>
        <v>5173.7131</v>
      </c>
      <c r="I74" s="74">
        <v>26990</v>
      </c>
      <c r="J74" s="59"/>
      <c r="K74" s="107"/>
    </row>
    <row r="75" spans="1:11" s="50" customFormat="1" ht="13.5" customHeight="1" hidden="1">
      <c r="A75" s="49"/>
      <c r="B75" s="108" t="s">
        <v>71</v>
      </c>
      <c r="C75" s="109"/>
      <c r="D75" s="36">
        <v>20</v>
      </c>
      <c r="E75" s="104" t="s">
        <v>67</v>
      </c>
      <c r="F75" s="47">
        <v>39.51</v>
      </c>
      <c r="G75" s="38">
        <f t="shared" si="7"/>
        <v>458.316</v>
      </c>
      <c r="H75" s="41">
        <f t="shared" si="8"/>
        <v>21077.952839999998</v>
      </c>
      <c r="I75" s="40">
        <v>45990</v>
      </c>
      <c r="J75" s="41"/>
      <c r="K75" s="110"/>
    </row>
    <row r="76" spans="1:11" s="50" customFormat="1" ht="14.25" customHeight="1" hidden="1">
      <c r="A76" s="49"/>
      <c r="B76" s="108" t="s">
        <v>72</v>
      </c>
      <c r="C76" s="109"/>
      <c r="D76" s="36"/>
      <c r="E76" s="111">
        <v>5.77</v>
      </c>
      <c r="F76" s="47">
        <v>45.92</v>
      </c>
      <c r="G76" s="38">
        <f t="shared" si="7"/>
        <v>264.9584</v>
      </c>
      <c r="H76" s="41">
        <f t="shared" si="8"/>
        <v>7151.227215999999</v>
      </c>
      <c r="I76" s="74">
        <v>26990</v>
      </c>
      <c r="J76" s="41"/>
      <c r="K76" s="112"/>
    </row>
    <row r="77" spans="1:11" s="50" customFormat="1" ht="14.25" customHeight="1" hidden="1">
      <c r="A77" s="49"/>
      <c r="B77" s="108" t="s">
        <v>73</v>
      </c>
      <c r="C77" s="109"/>
      <c r="D77" s="36"/>
      <c r="E77" s="111" t="s">
        <v>48</v>
      </c>
      <c r="F77" s="47">
        <v>52.28</v>
      </c>
      <c r="G77" s="47"/>
      <c r="H77" s="40"/>
      <c r="I77" s="74">
        <v>26990</v>
      </c>
      <c r="J77" s="41">
        <f>I77-240</f>
        <v>26750</v>
      </c>
      <c r="K77" s="112"/>
    </row>
    <row r="78" spans="1:11" s="50" customFormat="1" ht="13.5" customHeight="1" hidden="1">
      <c r="A78" s="49"/>
      <c r="B78" s="108" t="s">
        <v>74</v>
      </c>
      <c r="C78" s="109"/>
      <c r="D78" s="36"/>
      <c r="E78" s="111">
        <v>4</v>
      </c>
      <c r="F78" s="47">
        <v>47.2</v>
      </c>
      <c r="G78" s="47">
        <f>E78*F78</f>
        <v>188.8</v>
      </c>
      <c r="H78" s="40">
        <f>I78/(1000/G78)</f>
        <v>5095.712</v>
      </c>
      <c r="I78" s="40">
        <v>26990</v>
      </c>
      <c r="J78" s="41"/>
      <c r="K78" s="64"/>
    </row>
    <row r="79" spans="1:11" s="48" customFormat="1" ht="13.5" customHeight="1" hidden="1">
      <c r="A79" s="15"/>
      <c r="B79" s="108" t="s">
        <v>74</v>
      </c>
      <c r="C79" s="109"/>
      <c r="D79" s="36"/>
      <c r="E79" s="111">
        <v>4</v>
      </c>
      <c r="F79" s="47">
        <v>47.2</v>
      </c>
      <c r="G79" s="47">
        <f>E79*F79</f>
        <v>188.8</v>
      </c>
      <c r="H79" s="40">
        <f>I79/(1000/G79)</f>
        <v>5662.112</v>
      </c>
      <c r="I79" s="113">
        <v>29990</v>
      </c>
      <c r="J79" s="41">
        <f>I79-240</f>
        <v>29750</v>
      </c>
      <c r="K79" s="64"/>
    </row>
    <row r="80" spans="1:11" s="75" customFormat="1" ht="13.5" customHeight="1" hidden="1">
      <c r="A80" s="15"/>
      <c r="B80" s="105" t="s">
        <v>75</v>
      </c>
      <c r="C80" s="106"/>
      <c r="D80" s="55"/>
      <c r="E80" s="114">
        <v>5.5</v>
      </c>
      <c r="F80" s="57">
        <v>62.54</v>
      </c>
      <c r="G80" s="58">
        <f>E80*F80</f>
        <v>343.96999999999997</v>
      </c>
      <c r="H80" s="59">
        <f>I80/(1000/G80)</f>
        <v>5156.110299999999</v>
      </c>
      <c r="I80" s="115">
        <v>14990</v>
      </c>
      <c r="J80" s="59">
        <f>I80-240</f>
        <v>14750</v>
      </c>
      <c r="K80" s="116"/>
    </row>
    <row r="81" spans="1:11" s="50" customFormat="1" ht="13.5" customHeight="1" hidden="1">
      <c r="A81" s="49"/>
      <c r="B81" s="108" t="s">
        <v>76</v>
      </c>
      <c r="C81" s="109"/>
      <c r="D81" s="117"/>
      <c r="E81" s="104" t="s">
        <v>77</v>
      </c>
      <c r="F81" s="118">
        <v>62.15</v>
      </c>
      <c r="G81" s="47">
        <f>E81*F81</f>
        <v>725.9119999999999</v>
      </c>
      <c r="H81" s="40">
        <f>I81/(1000/G81)</f>
        <v>21770.100879999998</v>
      </c>
      <c r="I81" s="113">
        <v>29990</v>
      </c>
      <c r="J81" s="41"/>
      <c r="K81" s="110"/>
    </row>
    <row r="82" spans="1:11" s="50" customFormat="1" ht="13.5" customHeight="1" hidden="1">
      <c r="A82" s="49"/>
      <c r="B82" s="108" t="s">
        <v>78</v>
      </c>
      <c r="C82" s="109"/>
      <c r="D82" s="117"/>
      <c r="E82" s="104" t="s">
        <v>48</v>
      </c>
      <c r="F82" s="118">
        <v>72.33</v>
      </c>
      <c r="G82" s="47"/>
      <c r="H82" s="113"/>
      <c r="I82" s="113">
        <v>33990</v>
      </c>
      <c r="J82" s="41">
        <f>I82-240</f>
        <v>33750</v>
      </c>
      <c r="K82" s="119"/>
    </row>
    <row r="83" spans="1:11" s="50" customFormat="1" ht="13.5" customHeight="1" hidden="1">
      <c r="A83" s="15"/>
      <c r="B83" s="108" t="s">
        <v>79</v>
      </c>
      <c r="C83" s="109"/>
      <c r="D83" s="117"/>
      <c r="E83" s="104" t="s">
        <v>80</v>
      </c>
      <c r="F83" s="118">
        <v>82.47</v>
      </c>
      <c r="G83" s="47">
        <f>E83*F83</f>
        <v>960.7755</v>
      </c>
      <c r="H83" s="40">
        <f>I83/(1000/G83)</f>
        <v>32656.759244999997</v>
      </c>
      <c r="I83" s="113">
        <v>33990</v>
      </c>
      <c r="J83" s="41"/>
      <c r="K83" s="42"/>
    </row>
    <row r="84" spans="1:11" s="50" customFormat="1" ht="13.5" customHeight="1" hidden="1">
      <c r="A84" s="15"/>
      <c r="B84" s="108" t="s">
        <v>81</v>
      </c>
      <c r="C84" s="109"/>
      <c r="D84" s="117">
        <v>20</v>
      </c>
      <c r="E84" s="104" t="s">
        <v>48</v>
      </c>
      <c r="F84" s="118">
        <v>92.56</v>
      </c>
      <c r="G84" s="40">
        <v>1077</v>
      </c>
      <c r="H84" s="113">
        <f>I84/(1000/G84)</f>
        <v>46300.23</v>
      </c>
      <c r="I84" s="113">
        <v>42990</v>
      </c>
      <c r="J84" s="41"/>
      <c r="K84" s="42"/>
    </row>
    <row r="85" spans="1:11" s="48" customFormat="1" ht="13.5" customHeight="1" hidden="1">
      <c r="A85" s="120"/>
      <c r="B85" s="108" t="s">
        <v>82</v>
      </c>
      <c r="C85" s="109"/>
      <c r="D85" s="117">
        <v>20</v>
      </c>
      <c r="E85" s="104" t="s">
        <v>48</v>
      </c>
      <c r="F85" s="118">
        <v>102.59</v>
      </c>
      <c r="G85" s="118"/>
      <c r="H85" s="113"/>
      <c r="I85" s="113">
        <v>48990</v>
      </c>
      <c r="J85" s="113">
        <f>I85-240</f>
        <v>48750</v>
      </c>
      <c r="K85" s="121"/>
    </row>
    <row r="86" spans="1:12" s="32" customFormat="1" ht="21" customHeight="1">
      <c r="A86" s="120"/>
      <c r="B86" s="28" t="s">
        <v>83</v>
      </c>
      <c r="C86" s="30"/>
      <c r="D86" s="30"/>
      <c r="E86" s="30"/>
      <c r="F86" s="30"/>
      <c r="G86" s="30"/>
      <c r="H86" s="30"/>
      <c r="I86" s="30"/>
      <c r="J86" s="30"/>
      <c r="K86" s="66"/>
      <c r="L86" s="32">
        <v>272</v>
      </c>
    </row>
    <row r="87" spans="1:12" s="50" customFormat="1" ht="13.5" customHeight="1">
      <c r="A87" s="122"/>
      <c r="B87" s="44" t="s">
        <v>84</v>
      </c>
      <c r="C87" s="45">
        <v>5</v>
      </c>
      <c r="D87" s="36" t="s">
        <v>85</v>
      </c>
      <c r="E87" s="46">
        <v>6</v>
      </c>
      <c r="F87" s="123">
        <f>0.605*1.2</f>
        <v>0.726</v>
      </c>
      <c r="G87" s="47">
        <f>E87*F87</f>
        <v>4.356</v>
      </c>
      <c r="H87" s="40">
        <f>I87/(1000/G87)</f>
        <v>226.46844000000002</v>
      </c>
      <c r="I87" s="40">
        <v>51990</v>
      </c>
      <c r="J87" s="40"/>
      <c r="K87" s="42" t="s">
        <v>31</v>
      </c>
      <c r="L87" s="50">
        <v>272</v>
      </c>
    </row>
    <row r="88" spans="1:12" s="50" customFormat="1" ht="13.5" customHeight="1">
      <c r="A88" s="122"/>
      <c r="B88" s="124" t="s">
        <v>86</v>
      </c>
      <c r="C88" s="45">
        <v>8</v>
      </c>
      <c r="D88" s="36" t="s">
        <v>87</v>
      </c>
      <c r="E88" s="46" t="s">
        <v>48</v>
      </c>
      <c r="F88" s="123">
        <v>0.917</v>
      </c>
      <c r="G88" s="47"/>
      <c r="H88" s="40"/>
      <c r="I88" s="40">
        <v>41990</v>
      </c>
      <c r="J88" s="40"/>
      <c r="K88" s="42" t="s">
        <v>88</v>
      </c>
      <c r="L88" s="50">
        <v>272</v>
      </c>
    </row>
    <row r="89" spans="1:12" s="50" customFormat="1" ht="13.5" customHeight="1">
      <c r="A89" s="122"/>
      <c r="B89" s="44" t="s">
        <v>86</v>
      </c>
      <c r="C89" s="45">
        <v>8</v>
      </c>
      <c r="D89" s="36" t="s">
        <v>87</v>
      </c>
      <c r="E89" s="46">
        <v>6</v>
      </c>
      <c r="F89" s="123">
        <f>0.841*1.09</f>
        <v>0.91669</v>
      </c>
      <c r="G89" s="47">
        <f>E89*F89</f>
        <v>5.50014</v>
      </c>
      <c r="H89" s="40">
        <f aca="true" t="shared" si="9" ref="H89:H139">I89/(1000/G89)</f>
        <v>274.9519986</v>
      </c>
      <c r="I89" s="40">
        <v>49990</v>
      </c>
      <c r="J89" s="40"/>
      <c r="K89" s="42"/>
      <c r="L89" s="50">
        <v>272</v>
      </c>
    </row>
    <row r="90" spans="1:12" s="50" customFormat="1" ht="13.5" customHeight="1">
      <c r="A90" s="122"/>
      <c r="B90" s="44" t="s">
        <v>89</v>
      </c>
      <c r="C90" s="45">
        <v>8</v>
      </c>
      <c r="D90" s="36" t="s">
        <v>87</v>
      </c>
      <c r="E90" s="46">
        <v>6</v>
      </c>
      <c r="F90" s="123"/>
      <c r="G90" s="47">
        <v>7.25</v>
      </c>
      <c r="H90" s="40">
        <f t="shared" si="9"/>
        <v>337.05249999999995</v>
      </c>
      <c r="I90" s="40">
        <v>46490</v>
      </c>
      <c r="J90" s="40"/>
      <c r="K90" s="42"/>
      <c r="L90" s="50">
        <v>272</v>
      </c>
    </row>
    <row r="91" spans="1:12" s="50" customFormat="1" ht="13.5" customHeight="1">
      <c r="A91" s="122"/>
      <c r="B91" s="44" t="s">
        <v>90</v>
      </c>
      <c r="C91" s="45">
        <v>8</v>
      </c>
      <c r="D91" s="36" t="s">
        <v>87</v>
      </c>
      <c r="E91" s="46">
        <v>6</v>
      </c>
      <c r="F91" s="47">
        <f>1.07*1.188</f>
        <v>1.27116</v>
      </c>
      <c r="G91" s="38">
        <f>E91*F91</f>
        <v>7.62696</v>
      </c>
      <c r="H91" s="40">
        <f t="shared" si="9"/>
        <v>385.08521040000005</v>
      </c>
      <c r="I91" s="40">
        <v>50490</v>
      </c>
      <c r="J91" s="40"/>
      <c r="K91" s="42"/>
      <c r="L91" s="50">
        <v>272</v>
      </c>
    </row>
    <row r="92" spans="1:12" s="50" customFormat="1" ht="12.75" customHeight="1">
      <c r="A92" s="120"/>
      <c r="B92" s="44" t="s">
        <v>91</v>
      </c>
      <c r="C92" s="45">
        <v>10</v>
      </c>
      <c r="D92" s="36"/>
      <c r="E92" s="46">
        <v>6</v>
      </c>
      <c r="F92" s="47">
        <v>1.39</v>
      </c>
      <c r="G92" s="47">
        <f>E92*F92*1.1</f>
        <v>9.174000000000001</v>
      </c>
      <c r="H92" s="40">
        <f t="shared" si="9"/>
        <v>440.2602600000001</v>
      </c>
      <c r="I92" s="40">
        <v>47990</v>
      </c>
      <c r="J92" s="40"/>
      <c r="K92" s="42"/>
      <c r="L92" s="50">
        <v>272</v>
      </c>
    </row>
    <row r="93" spans="1:11" s="50" customFormat="1" ht="12.75" customHeight="1" hidden="1">
      <c r="A93" s="120"/>
      <c r="B93" s="44" t="s">
        <v>92</v>
      </c>
      <c r="C93" s="45">
        <v>13</v>
      </c>
      <c r="D93" s="36"/>
      <c r="E93" s="46">
        <v>6</v>
      </c>
      <c r="F93" s="47">
        <v>1.63</v>
      </c>
      <c r="G93" s="47">
        <f>E93*F93*1.04</f>
        <v>10.171199999999999</v>
      </c>
      <c r="H93" s="40">
        <f t="shared" si="9"/>
        <v>528.8006879999999</v>
      </c>
      <c r="I93" s="40">
        <v>51990</v>
      </c>
      <c r="J93" s="40">
        <f>I93-240</f>
        <v>51750</v>
      </c>
      <c r="K93" s="42"/>
    </row>
    <row r="94" spans="1:11" s="48" customFormat="1" ht="13.5" customHeight="1" hidden="1">
      <c r="A94" s="120"/>
      <c r="B94" s="44" t="s">
        <v>93</v>
      </c>
      <c r="C94" s="45">
        <v>12</v>
      </c>
      <c r="D94" s="36" t="s">
        <v>94</v>
      </c>
      <c r="E94" s="46">
        <v>6</v>
      </c>
      <c r="F94" s="47">
        <v>1.76</v>
      </c>
      <c r="G94" s="47">
        <f>E94*F94*1.04</f>
        <v>10.9824</v>
      </c>
      <c r="H94" s="40">
        <f t="shared" si="9"/>
        <v>570.974976</v>
      </c>
      <c r="I94" s="40">
        <v>51990</v>
      </c>
      <c r="J94" s="40">
        <f>I94-240</f>
        <v>51750</v>
      </c>
      <c r="K94" s="42"/>
    </row>
    <row r="95" spans="1:12" s="50" customFormat="1" ht="13.5" customHeight="1">
      <c r="A95" s="122"/>
      <c r="B95" s="124" t="s">
        <v>95</v>
      </c>
      <c r="C95" s="45">
        <v>12</v>
      </c>
      <c r="D95" s="36" t="s">
        <v>87</v>
      </c>
      <c r="E95" s="46">
        <v>6</v>
      </c>
      <c r="F95" s="47">
        <f>1.31*1.1</f>
        <v>1.4410000000000003</v>
      </c>
      <c r="G95" s="47">
        <f>E95*F95</f>
        <v>8.646</v>
      </c>
      <c r="H95" s="40">
        <f t="shared" si="9"/>
        <v>432.21354</v>
      </c>
      <c r="I95" s="40">
        <v>49990</v>
      </c>
      <c r="J95" s="40"/>
      <c r="K95" s="42"/>
      <c r="L95" s="50">
        <v>272</v>
      </c>
    </row>
    <row r="96" spans="1:12" s="50" customFormat="1" ht="13.5" customHeight="1">
      <c r="A96" s="122"/>
      <c r="B96" s="44" t="s">
        <v>96</v>
      </c>
      <c r="C96" s="45">
        <v>12</v>
      </c>
      <c r="D96" s="37" t="s">
        <v>85</v>
      </c>
      <c r="E96" s="46">
        <v>6</v>
      </c>
      <c r="F96" s="47">
        <f>1.7*1.04</f>
        <v>1.768</v>
      </c>
      <c r="G96" s="47">
        <f>E96*F96</f>
        <v>10.608</v>
      </c>
      <c r="H96" s="40">
        <f t="shared" si="9"/>
        <v>493.16592</v>
      </c>
      <c r="I96" s="40">
        <v>46490</v>
      </c>
      <c r="J96" s="40"/>
      <c r="K96" s="42"/>
      <c r="L96" s="50">
        <v>272</v>
      </c>
    </row>
    <row r="97" spans="1:12" s="50" customFormat="1" ht="13.5" customHeight="1">
      <c r="A97" s="122"/>
      <c r="B97" s="44" t="s">
        <v>97</v>
      </c>
      <c r="C97" s="45">
        <v>14</v>
      </c>
      <c r="D97" s="36" t="s">
        <v>87</v>
      </c>
      <c r="E97" s="46">
        <v>6</v>
      </c>
      <c r="F97" s="47">
        <f>1.43*1.143</f>
        <v>1.63449</v>
      </c>
      <c r="G97" s="47">
        <f>E97*F97</f>
        <v>9.80694</v>
      </c>
      <c r="H97" s="40">
        <f t="shared" si="9"/>
        <v>490.24893060000005</v>
      </c>
      <c r="I97" s="40">
        <v>49990</v>
      </c>
      <c r="J97" s="40"/>
      <c r="K97" s="42"/>
      <c r="L97" s="50">
        <v>272</v>
      </c>
    </row>
    <row r="98" spans="1:11" s="75" customFormat="1" ht="13.5" customHeight="1" hidden="1">
      <c r="A98" s="120"/>
      <c r="B98" s="103" t="s">
        <v>98</v>
      </c>
      <c r="C98" s="54">
        <v>14</v>
      </c>
      <c r="D98" s="55"/>
      <c r="E98" s="56">
        <v>6</v>
      </c>
      <c r="F98" s="57">
        <f>1.91*1.07</f>
        <v>2.0437</v>
      </c>
      <c r="G98" s="57">
        <f>E98*F98</f>
        <v>12.2622</v>
      </c>
      <c r="H98" s="74">
        <f t="shared" si="9"/>
        <v>478.103178</v>
      </c>
      <c r="I98" s="74">
        <v>38990</v>
      </c>
      <c r="J98" s="74"/>
      <c r="K98" s="102" t="s">
        <v>99</v>
      </c>
    </row>
    <row r="99" spans="1:12" s="50" customFormat="1" ht="13.5" customHeight="1">
      <c r="A99" s="122"/>
      <c r="B99" s="44" t="s">
        <v>100</v>
      </c>
      <c r="C99" s="45">
        <v>14</v>
      </c>
      <c r="D99" s="36"/>
      <c r="E99" s="46">
        <v>6</v>
      </c>
      <c r="F99" s="47">
        <f>1.91*1.07</f>
        <v>2.0437</v>
      </c>
      <c r="G99" s="47">
        <f>E99*F99</f>
        <v>12.2622</v>
      </c>
      <c r="H99" s="40">
        <f t="shared" si="9"/>
        <v>570.0696780000001</v>
      </c>
      <c r="I99" s="40">
        <v>46490</v>
      </c>
      <c r="J99" s="40"/>
      <c r="K99" s="42"/>
      <c r="L99" s="50">
        <v>272</v>
      </c>
    </row>
    <row r="100" spans="1:11" s="50" customFormat="1" ht="13.5" customHeight="1" hidden="1">
      <c r="A100" s="122"/>
      <c r="B100" s="44" t="s">
        <v>101</v>
      </c>
      <c r="C100" s="45">
        <v>14</v>
      </c>
      <c r="D100" s="36"/>
      <c r="E100" s="70">
        <v>6</v>
      </c>
      <c r="F100" s="47">
        <v>2.39</v>
      </c>
      <c r="G100" s="38">
        <v>15</v>
      </c>
      <c r="H100" s="40">
        <f t="shared" si="9"/>
        <v>764.8499999999999</v>
      </c>
      <c r="I100" s="40">
        <v>50990</v>
      </c>
      <c r="J100" s="40"/>
      <c r="K100" s="42"/>
    </row>
    <row r="101" spans="1:12" s="50" customFormat="1" ht="13.5" customHeight="1">
      <c r="A101" s="122"/>
      <c r="B101" s="44" t="s">
        <v>102</v>
      </c>
      <c r="C101" s="45">
        <v>16</v>
      </c>
      <c r="D101" s="36" t="s">
        <v>94</v>
      </c>
      <c r="E101" s="46">
        <v>6</v>
      </c>
      <c r="F101" s="47">
        <f>1.78*1.055</f>
        <v>1.8779</v>
      </c>
      <c r="G101" s="47">
        <f>E101*F101</f>
        <v>11.267399999999999</v>
      </c>
      <c r="H101" s="40">
        <f t="shared" si="9"/>
        <v>563.2573259999999</v>
      </c>
      <c r="I101" s="40">
        <v>49990</v>
      </c>
      <c r="J101" s="40"/>
      <c r="K101" s="42"/>
      <c r="L101" s="50">
        <v>272</v>
      </c>
    </row>
    <row r="102" spans="1:12" s="50" customFormat="1" ht="13.5" customHeight="1">
      <c r="A102" s="122"/>
      <c r="B102" s="44" t="s">
        <v>103</v>
      </c>
      <c r="C102" s="45">
        <v>16</v>
      </c>
      <c r="D102" s="36" t="s">
        <v>85</v>
      </c>
      <c r="E102" s="46">
        <v>6</v>
      </c>
      <c r="F102" s="47">
        <f>2.33*1.1</f>
        <v>2.563</v>
      </c>
      <c r="G102" s="47">
        <f>E102*F102</f>
        <v>15.378</v>
      </c>
      <c r="H102" s="40">
        <f t="shared" si="9"/>
        <v>722.61222</v>
      </c>
      <c r="I102" s="40">
        <v>46990</v>
      </c>
      <c r="J102" s="40"/>
      <c r="K102" s="42"/>
      <c r="L102" s="50">
        <v>272</v>
      </c>
    </row>
    <row r="103" spans="1:11" s="50" customFormat="1" ht="13.5" customHeight="1" hidden="1">
      <c r="A103" s="122"/>
      <c r="B103" s="44" t="s">
        <v>104</v>
      </c>
      <c r="C103" s="45">
        <v>16</v>
      </c>
      <c r="D103" s="36" t="s">
        <v>85</v>
      </c>
      <c r="E103" s="46">
        <v>6</v>
      </c>
      <c r="F103" s="47"/>
      <c r="G103" s="38">
        <v>26</v>
      </c>
      <c r="H103" s="40">
        <f t="shared" si="9"/>
        <v>1091.74</v>
      </c>
      <c r="I103" s="40">
        <v>41990</v>
      </c>
      <c r="J103" s="40"/>
      <c r="K103" s="42"/>
    </row>
    <row r="104" spans="1:11" s="50" customFormat="1" ht="13.5" customHeight="1" hidden="1">
      <c r="A104" s="122"/>
      <c r="B104" s="44" t="s">
        <v>105</v>
      </c>
      <c r="C104" s="45">
        <v>15</v>
      </c>
      <c r="D104" s="36" t="s">
        <v>85</v>
      </c>
      <c r="E104" s="46">
        <v>6</v>
      </c>
      <c r="F104" s="47">
        <v>1.67</v>
      </c>
      <c r="G104" s="38">
        <v>11.5</v>
      </c>
      <c r="H104" s="40">
        <f t="shared" si="9"/>
        <v>540.385</v>
      </c>
      <c r="I104" s="40">
        <v>46990</v>
      </c>
      <c r="J104" s="40"/>
      <c r="K104" s="42"/>
    </row>
    <row r="105" spans="1:12" s="50" customFormat="1" ht="13.5" customHeight="1">
      <c r="A105" s="122"/>
      <c r="B105" s="44" t="s">
        <v>106</v>
      </c>
      <c r="C105" s="45">
        <v>15</v>
      </c>
      <c r="D105" s="36" t="s">
        <v>94</v>
      </c>
      <c r="E105" s="46">
        <v>6</v>
      </c>
      <c r="F105" s="47">
        <f>2.17*1.105</f>
        <v>2.39785</v>
      </c>
      <c r="G105" s="47">
        <f>E105*F105</f>
        <v>14.3871</v>
      </c>
      <c r="H105" s="40">
        <f t="shared" si="9"/>
        <v>668.8562790000001</v>
      </c>
      <c r="I105" s="40">
        <v>46490</v>
      </c>
      <c r="J105" s="40"/>
      <c r="K105" s="42"/>
      <c r="L105" s="50">
        <v>272</v>
      </c>
    </row>
    <row r="106" spans="1:12" s="50" customFormat="1" ht="13.5" customHeight="1">
      <c r="A106" s="122"/>
      <c r="B106" s="44" t="s">
        <v>107</v>
      </c>
      <c r="C106" s="45">
        <v>20</v>
      </c>
      <c r="D106" s="36"/>
      <c r="E106" s="46">
        <v>6</v>
      </c>
      <c r="F106" s="47">
        <f>2.96*1.065</f>
        <v>3.1523999999999996</v>
      </c>
      <c r="G106" s="47">
        <f>E106*F106</f>
        <v>18.914399999999997</v>
      </c>
      <c r="H106" s="40">
        <f t="shared" si="9"/>
        <v>879.3304559999999</v>
      </c>
      <c r="I106" s="40">
        <v>46490</v>
      </c>
      <c r="J106" s="40"/>
      <c r="K106" s="42"/>
      <c r="L106" s="50">
        <v>272</v>
      </c>
    </row>
    <row r="107" spans="1:11" s="75" customFormat="1" ht="13.5" customHeight="1" hidden="1">
      <c r="A107" s="120"/>
      <c r="B107" s="53" t="s">
        <v>108</v>
      </c>
      <c r="C107" s="54">
        <v>20</v>
      </c>
      <c r="D107" s="55"/>
      <c r="E107" s="56">
        <v>6</v>
      </c>
      <c r="F107" s="57">
        <f>2.96*1.065</f>
        <v>3.1523999999999996</v>
      </c>
      <c r="G107" s="57">
        <f>E107*F107</f>
        <v>18.914399999999997</v>
      </c>
      <c r="H107" s="74">
        <f t="shared" si="9"/>
        <v>879.3304559999999</v>
      </c>
      <c r="I107" s="40">
        <v>46490</v>
      </c>
      <c r="J107" s="74"/>
      <c r="K107" s="102" t="s">
        <v>99</v>
      </c>
    </row>
    <row r="108" spans="1:11" s="48" customFormat="1" ht="13.5" customHeight="1" hidden="1">
      <c r="A108" s="120"/>
      <c r="B108" s="44" t="s">
        <v>109</v>
      </c>
      <c r="C108" s="45">
        <v>20</v>
      </c>
      <c r="D108" s="36"/>
      <c r="E108" s="70">
        <v>6</v>
      </c>
      <c r="F108" s="47"/>
      <c r="G108" s="38">
        <v>33.5</v>
      </c>
      <c r="H108" s="41">
        <f t="shared" si="9"/>
        <v>1557.415</v>
      </c>
      <c r="I108" s="40">
        <v>46490</v>
      </c>
      <c r="J108" s="40"/>
      <c r="K108" s="42"/>
    </row>
    <row r="109" spans="1:11" s="48" customFormat="1" ht="13.5" customHeight="1" hidden="1">
      <c r="A109" s="120"/>
      <c r="B109" s="44" t="s">
        <v>110</v>
      </c>
      <c r="C109" s="45">
        <v>18</v>
      </c>
      <c r="D109" s="36"/>
      <c r="E109" s="70">
        <v>5.8</v>
      </c>
      <c r="F109" s="47">
        <v>2.108</v>
      </c>
      <c r="G109" s="38">
        <f>E109*F109</f>
        <v>12.2264</v>
      </c>
      <c r="H109" s="41">
        <f t="shared" si="9"/>
        <v>568.405336</v>
      </c>
      <c r="I109" s="40">
        <v>46490</v>
      </c>
      <c r="J109" s="40"/>
      <c r="K109" s="42"/>
    </row>
    <row r="110" spans="1:12" s="50" customFormat="1" ht="13.5" customHeight="1">
      <c r="A110" s="122"/>
      <c r="B110" s="44" t="s">
        <v>111</v>
      </c>
      <c r="C110" s="45">
        <v>18</v>
      </c>
      <c r="D110" s="36"/>
      <c r="E110" s="46">
        <v>6</v>
      </c>
      <c r="F110" s="47">
        <f>2.65*1.05</f>
        <v>2.7825</v>
      </c>
      <c r="G110" s="47">
        <f>E110*F110</f>
        <v>16.695</v>
      </c>
      <c r="H110" s="40">
        <f t="shared" si="9"/>
        <v>776.15055</v>
      </c>
      <c r="I110" s="40">
        <v>46490</v>
      </c>
      <c r="J110" s="40"/>
      <c r="K110" s="42"/>
      <c r="L110" s="50">
        <v>272</v>
      </c>
    </row>
    <row r="111" spans="1:11" s="50" customFormat="1" ht="13.5" customHeight="1" hidden="1">
      <c r="A111" s="122"/>
      <c r="B111" s="44" t="s">
        <v>112</v>
      </c>
      <c r="C111" s="45">
        <v>18</v>
      </c>
      <c r="D111" s="36"/>
      <c r="E111" s="46">
        <v>6</v>
      </c>
      <c r="F111" s="47"/>
      <c r="G111" s="47">
        <v>25</v>
      </c>
      <c r="H111" s="40">
        <f t="shared" si="9"/>
        <v>1162.25</v>
      </c>
      <c r="I111" s="40">
        <v>46490</v>
      </c>
      <c r="J111" s="40"/>
      <c r="K111" s="42"/>
    </row>
    <row r="112" spans="1:12" s="50" customFormat="1" ht="13.5" customHeight="1">
      <c r="A112" s="122"/>
      <c r="B112" s="44" t="s">
        <v>113</v>
      </c>
      <c r="C112" s="45">
        <v>20</v>
      </c>
      <c r="D112" s="36" t="s">
        <v>94</v>
      </c>
      <c r="E112" s="46">
        <v>6</v>
      </c>
      <c r="F112" s="47">
        <f>2.96*1.052</f>
        <v>3.1139200000000002</v>
      </c>
      <c r="G112" s="47">
        <f aca="true" t="shared" si="10" ref="G112:G127">E112*F112</f>
        <v>18.68352</v>
      </c>
      <c r="H112" s="40">
        <f t="shared" si="9"/>
        <v>868.5968448000001</v>
      </c>
      <c r="I112" s="40">
        <v>46490</v>
      </c>
      <c r="J112" s="40"/>
      <c r="K112" s="42"/>
      <c r="L112" s="50">
        <v>272</v>
      </c>
    </row>
    <row r="113" spans="1:11" s="48" customFormat="1" ht="13.5" customHeight="1" hidden="1">
      <c r="A113" s="120"/>
      <c r="B113" s="44" t="s">
        <v>114</v>
      </c>
      <c r="C113" s="45">
        <v>22</v>
      </c>
      <c r="D113" s="36"/>
      <c r="E113" s="46">
        <v>6</v>
      </c>
      <c r="F113" s="47">
        <f>5.77*1.04</f>
        <v>6.0008</v>
      </c>
      <c r="G113" s="47">
        <f t="shared" si="10"/>
        <v>36.0048</v>
      </c>
      <c r="H113" s="40">
        <f t="shared" si="9"/>
        <v>1673.8631520000001</v>
      </c>
      <c r="I113" s="40">
        <v>46490</v>
      </c>
      <c r="J113" s="40"/>
      <c r="K113" s="42"/>
    </row>
    <row r="114" spans="1:11" s="75" customFormat="1" ht="13.5" customHeight="1" hidden="1">
      <c r="A114" s="120"/>
      <c r="B114" s="53" t="s">
        <v>115</v>
      </c>
      <c r="C114" s="54">
        <v>24</v>
      </c>
      <c r="D114" s="55"/>
      <c r="E114" s="56">
        <v>6</v>
      </c>
      <c r="F114" s="57">
        <f>3.59*1.088</f>
        <v>3.90592</v>
      </c>
      <c r="G114" s="57">
        <f t="shared" si="10"/>
        <v>23.43552</v>
      </c>
      <c r="H114" s="74">
        <f t="shared" si="9"/>
        <v>1089.5173248</v>
      </c>
      <c r="I114" s="40">
        <v>46490</v>
      </c>
      <c r="J114" s="74"/>
      <c r="K114" s="102" t="s">
        <v>99</v>
      </c>
    </row>
    <row r="115" spans="1:12" s="50" customFormat="1" ht="13.5" customHeight="1">
      <c r="A115" s="122"/>
      <c r="B115" s="44" t="s">
        <v>116</v>
      </c>
      <c r="C115" s="45">
        <v>24</v>
      </c>
      <c r="D115" s="36"/>
      <c r="E115" s="46">
        <v>6</v>
      </c>
      <c r="F115" s="47">
        <f>3.59*1.088</f>
        <v>3.90592</v>
      </c>
      <c r="G115" s="47">
        <f t="shared" si="10"/>
        <v>23.43552</v>
      </c>
      <c r="H115" s="40">
        <f t="shared" si="9"/>
        <v>1089.5173248</v>
      </c>
      <c r="I115" s="40">
        <v>46490</v>
      </c>
      <c r="J115" s="40"/>
      <c r="K115" s="42"/>
      <c r="L115" s="50">
        <v>272</v>
      </c>
    </row>
    <row r="116" spans="1:11" s="75" customFormat="1" ht="13.5" customHeight="1" hidden="1">
      <c r="A116" s="120"/>
      <c r="B116" s="103" t="s">
        <v>116</v>
      </c>
      <c r="C116" s="54">
        <v>24</v>
      </c>
      <c r="D116" s="55"/>
      <c r="E116" s="56">
        <v>12</v>
      </c>
      <c r="F116" s="57">
        <f>3.59</f>
        <v>3.59</v>
      </c>
      <c r="G116" s="57">
        <f t="shared" si="10"/>
        <v>43.08</v>
      </c>
      <c r="H116" s="74">
        <f t="shared" si="9"/>
        <v>2002.7892</v>
      </c>
      <c r="I116" s="40">
        <v>46490</v>
      </c>
      <c r="J116" s="74"/>
      <c r="K116" s="102"/>
    </row>
    <row r="117" spans="1:11" s="75" customFormat="1" ht="13.5" customHeight="1" hidden="1">
      <c r="A117" s="120"/>
      <c r="B117" s="103" t="s">
        <v>117</v>
      </c>
      <c r="C117" s="54">
        <v>28</v>
      </c>
      <c r="D117" s="55"/>
      <c r="E117" s="56">
        <v>6</v>
      </c>
      <c r="F117" s="57">
        <v>5.25</v>
      </c>
      <c r="G117" s="57">
        <f t="shared" si="10"/>
        <v>31.5</v>
      </c>
      <c r="H117" s="74">
        <f t="shared" si="9"/>
        <v>1464.435</v>
      </c>
      <c r="I117" s="40">
        <v>46490</v>
      </c>
      <c r="J117" s="74"/>
      <c r="K117" s="102"/>
    </row>
    <row r="118" spans="1:11" s="75" customFormat="1" ht="13.5" customHeight="1" hidden="1">
      <c r="A118" s="120"/>
      <c r="B118" s="103" t="s">
        <v>118</v>
      </c>
      <c r="C118" s="54">
        <v>24</v>
      </c>
      <c r="D118" s="55"/>
      <c r="E118" s="56">
        <v>6</v>
      </c>
      <c r="F118" s="57">
        <v>6.82</v>
      </c>
      <c r="G118" s="57">
        <f t="shared" si="10"/>
        <v>40.92</v>
      </c>
      <c r="H118" s="74">
        <f t="shared" si="9"/>
        <v>1902.3708</v>
      </c>
      <c r="I118" s="40">
        <v>46490</v>
      </c>
      <c r="J118" s="74"/>
      <c r="K118" s="60"/>
    </row>
    <row r="119" spans="1:12" s="50" customFormat="1" ht="13.5" customHeight="1">
      <c r="A119" s="122"/>
      <c r="B119" s="108" t="s">
        <v>119</v>
      </c>
      <c r="C119" s="109">
        <v>24</v>
      </c>
      <c r="D119" s="117"/>
      <c r="E119" s="111">
        <v>6</v>
      </c>
      <c r="F119" s="118">
        <f>3.59*1.095</f>
        <v>3.93105</v>
      </c>
      <c r="G119" s="47">
        <f t="shared" si="10"/>
        <v>23.5863</v>
      </c>
      <c r="H119" s="40">
        <f t="shared" si="9"/>
        <v>1096.5270870000002</v>
      </c>
      <c r="I119" s="40">
        <v>46490</v>
      </c>
      <c r="J119" s="40"/>
      <c r="K119" s="125"/>
      <c r="L119" s="50">
        <v>272</v>
      </c>
    </row>
    <row r="120" spans="1:11" s="75" customFormat="1" ht="13.5" customHeight="1" hidden="1">
      <c r="A120" s="120"/>
      <c r="B120" s="105" t="s">
        <v>120</v>
      </c>
      <c r="C120" s="106">
        <v>24</v>
      </c>
      <c r="D120" s="126"/>
      <c r="E120" s="114">
        <v>6</v>
      </c>
      <c r="F120" s="127">
        <v>5.39</v>
      </c>
      <c r="G120" s="57">
        <f t="shared" si="10"/>
        <v>32.339999999999996</v>
      </c>
      <c r="H120" s="74">
        <f t="shared" si="9"/>
        <v>1390.2966</v>
      </c>
      <c r="I120" s="74">
        <v>42990</v>
      </c>
      <c r="J120" s="74"/>
      <c r="K120" s="128"/>
    </row>
    <row r="121" spans="1:11" s="75" customFormat="1" ht="13.5" customHeight="1" hidden="1">
      <c r="A121" s="120"/>
      <c r="B121" s="105" t="s">
        <v>121</v>
      </c>
      <c r="C121" s="106">
        <v>24</v>
      </c>
      <c r="D121" s="126"/>
      <c r="E121" s="114">
        <v>6</v>
      </c>
      <c r="F121" s="127">
        <f>7.03*1.07</f>
        <v>7.522100000000001</v>
      </c>
      <c r="G121" s="57">
        <f t="shared" si="10"/>
        <v>45.132600000000004</v>
      </c>
      <c r="H121" s="74">
        <f t="shared" si="9"/>
        <v>1940.2504740000002</v>
      </c>
      <c r="I121" s="74">
        <v>42990</v>
      </c>
      <c r="J121" s="74"/>
      <c r="K121" s="128"/>
    </row>
    <row r="122" spans="1:11" s="75" customFormat="1" ht="13.5" customHeight="1" hidden="1">
      <c r="A122" s="120"/>
      <c r="B122" s="129" t="s">
        <v>122</v>
      </c>
      <c r="C122" s="106">
        <v>32</v>
      </c>
      <c r="D122" s="126"/>
      <c r="E122" s="114">
        <v>6</v>
      </c>
      <c r="F122" s="127">
        <f>7.13*1.062</f>
        <v>7.5720600000000005</v>
      </c>
      <c r="G122" s="57">
        <f t="shared" si="10"/>
        <v>45.43236</v>
      </c>
      <c r="H122" s="74">
        <f t="shared" si="9"/>
        <v>1589.6782764</v>
      </c>
      <c r="I122" s="74">
        <v>34990</v>
      </c>
      <c r="J122" s="74"/>
      <c r="K122" s="102" t="s">
        <v>99</v>
      </c>
    </row>
    <row r="123" spans="1:12" s="50" customFormat="1" ht="13.5" customHeight="1">
      <c r="A123" s="122"/>
      <c r="B123" s="108" t="s">
        <v>123</v>
      </c>
      <c r="C123" s="109">
        <v>32</v>
      </c>
      <c r="D123" s="117"/>
      <c r="E123" s="111">
        <v>12</v>
      </c>
      <c r="F123" s="118">
        <f>7.13*1.062</f>
        <v>7.5720600000000005</v>
      </c>
      <c r="G123" s="47">
        <f t="shared" si="10"/>
        <v>90.86472</v>
      </c>
      <c r="H123" s="40">
        <f t="shared" si="9"/>
        <v>4042.5713928</v>
      </c>
      <c r="I123" s="40">
        <v>44490</v>
      </c>
      <c r="J123" s="40"/>
      <c r="K123" s="42"/>
      <c r="L123" s="50">
        <v>272</v>
      </c>
    </row>
    <row r="124" spans="1:11" s="75" customFormat="1" ht="13.5" customHeight="1" hidden="1">
      <c r="A124" s="120"/>
      <c r="B124" s="53" t="s">
        <v>124</v>
      </c>
      <c r="C124" s="54">
        <v>32</v>
      </c>
      <c r="D124" s="55"/>
      <c r="E124" s="56">
        <v>6</v>
      </c>
      <c r="F124" s="57">
        <f>9.33*1.04</f>
        <v>9.7032</v>
      </c>
      <c r="G124" s="57">
        <f t="shared" si="10"/>
        <v>58.2192</v>
      </c>
      <c r="H124" s="74">
        <f t="shared" si="9"/>
        <v>2211.7474079999997</v>
      </c>
      <c r="I124" s="74">
        <v>37990</v>
      </c>
      <c r="J124" s="74"/>
      <c r="K124" s="102" t="s">
        <v>99</v>
      </c>
    </row>
    <row r="125" spans="1:12" s="50" customFormat="1" ht="13.5" customHeight="1">
      <c r="A125" s="122"/>
      <c r="B125" s="44" t="s">
        <v>125</v>
      </c>
      <c r="C125" s="45">
        <v>32</v>
      </c>
      <c r="D125" s="36"/>
      <c r="E125" s="46">
        <v>12</v>
      </c>
      <c r="F125" s="47">
        <f>9.54*1.04</f>
        <v>9.9216</v>
      </c>
      <c r="G125" s="47">
        <f t="shared" si="10"/>
        <v>119.0592</v>
      </c>
      <c r="H125" s="40">
        <f t="shared" si="9"/>
        <v>5296.943808</v>
      </c>
      <c r="I125" s="40">
        <v>44490</v>
      </c>
      <c r="J125" s="40"/>
      <c r="K125" s="110"/>
      <c r="L125" s="50">
        <v>272</v>
      </c>
    </row>
    <row r="126" spans="1:11" s="50" customFormat="1" ht="13.5" customHeight="1" hidden="1">
      <c r="A126" s="122"/>
      <c r="B126" s="108" t="s">
        <v>126</v>
      </c>
      <c r="C126" s="109">
        <v>32</v>
      </c>
      <c r="D126" s="117"/>
      <c r="E126" s="111">
        <v>6</v>
      </c>
      <c r="F126" s="118"/>
      <c r="G126" s="47">
        <f t="shared" si="10"/>
        <v>0</v>
      </c>
      <c r="H126" s="40" t="e">
        <f t="shared" si="9"/>
        <v>#DIV/0!</v>
      </c>
      <c r="I126" s="40">
        <v>41750</v>
      </c>
      <c r="J126" s="40"/>
      <c r="K126" s="130"/>
    </row>
    <row r="127" spans="1:11" s="50" customFormat="1" ht="13.5" customHeight="1" hidden="1">
      <c r="A127" s="122"/>
      <c r="B127" s="108" t="s">
        <v>127</v>
      </c>
      <c r="C127" s="109">
        <v>32</v>
      </c>
      <c r="D127" s="117"/>
      <c r="E127" s="111">
        <v>12</v>
      </c>
      <c r="F127" s="118">
        <f>13.46*1.04</f>
        <v>13.998400000000002</v>
      </c>
      <c r="G127" s="47">
        <f t="shared" si="10"/>
        <v>167.98080000000002</v>
      </c>
      <c r="H127" s="40">
        <f t="shared" si="9"/>
        <v>7013.198400000001</v>
      </c>
      <c r="I127" s="40">
        <v>41750</v>
      </c>
      <c r="J127" s="40"/>
      <c r="K127" s="130"/>
    </row>
    <row r="128" spans="1:12" s="50" customFormat="1" ht="13.5" customHeight="1">
      <c r="A128" s="122"/>
      <c r="B128" s="44" t="s">
        <v>128</v>
      </c>
      <c r="C128" s="45">
        <v>30</v>
      </c>
      <c r="D128" s="36"/>
      <c r="E128" s="46">
        <v>12</v>
      </c>
      <c r="F128" s="47"/>
      <c r="G128" s="47">
        <v>80</v>
      </c>
      <c r="H128" s="40">
        <f t="shared" si="9"/>
        <v>3719.2</v>
      </c>
      <c r="I128" s="40">
        <v>46490</v>
      </c>
      <c r="J128" s="40"/>
      <c r="K128" s="63" t="s">
        <v>31</v>
      </c>
      <c r="L128" s="50">
        <v>272</v>
      </c>
    </row>
    <row r="129" spans="1:12" s="75" customFormat="1" ht="13.5" customHeight="1">
      <c r="A129" s="120"/>
      <c r="B129" s="53" t="s">
        <v>129</v>
      </c>
      <c r="C129" s="54">
        <v>40</v>
      </c>
      <c r="D129" s="55"/>
      <c r="E129" s="56">
        <v>6</v>
      </c>
      <c r="F129" s="57">
        <v>9.183</v>
      </c>
      <c r="G129" s="57">
        <f>E129*F129</f>
        <v>55.098</v>
      </c>
      <c r="H129" s="74">
        <f t="shared" si="9"/>
        <v>1982.9770199999998</v>
      </c>
      <c r="I129" s="74">
        <v>35990</v>
      </c>
      <c r="J129" s="74"/>
      <c r="K129" s="102" t="s">
        <v>99</v>
      </c>
      <c r="L129" s="75">
        <v>272</v>
      </c>
    </row>
    <row r="130" spans="1:11" s="75" customFormat="1" ht="13.5" customHeight="1" hidden="1">
      <c r="A130" s="120"/>
      <c r="B130" s="53" t="s">
        <v>130</v>
      </c>
      <c r="C130" s="54">
        <v>40</v>
      </c>
      <c r="D130" s="55"/>
      <c r="E130" s="56">
        <v>4</v>
      </c>
      <c r="F130" s="57">
        <f>11.84</f>
        <v>11.84</v>
      </c>
      <c r="G130" s="57">
        <f>E130*F130</f>
        <v>47.36</v>
      </c>
      <c r="H130" s="74">
        <f t="shared" si="9"/>
        <v>1657.1263999999999</v>
      </c>
      <c r="I130" s="74">
        <v>34990</v>
      </c>
      <c r="J130" s="40"/>
      <c r="K130" s="102" t="s">
        <v>99</v>
      </c>
    </row>
    <row r="131" spans="1:12" s="50" customFormat="1" ht="13.5" customHeight="1">
      <c r="A131" s="122"/>
      <c r="B131" s="44" t="s">
        <v>131</v>
      </c>
      <c r="C131" s="45">
        <v>40</v>
      </c>
      <c r="D131" s="36"/>
      <c r="E131" s="46">
        <v>12</v>
      </c>
      <c r="F131" s="47">
        <f>11.84</f>
        <v>11.84</v>
      </c>
      <c r="G131" s="47">
        <f>E131*F131</f>
        <v>142.07999999999998</v>
      </c>
      <c r="H131" s="40">
        <f t="shared" si="9"/>
        <v>6321.1392</v>
      </c>
      <c r="I131" s="40">
        <v>44490</v>
      </c>
      <c r="J131" s="40"/>
      <c r="K131" s="63"/>
      <c r="L131" s="50">
        <v>272</v>
      </c>
    </row>
    <row r="132" spans="1:11" s="50" customFormat="1" ht="13.5" customHeight="1" hidden="1">
      <c r="A132" s="122"/>
      <c r="B132" s="44" t="s">
        <v>132</v>
      </c>
      <c r="C132" s="45">
        <v>36</v>
      </c>
      <c r="D132" s="36" t="s">
        <v>133</v>
      </c>
      <c r="E132" s="46">
        <v>12</v>
      </c>
      <c r="F132" s="47"/>
      <c r="G132" s="47">
        <v>130</v>
      </c>
      <c r="H132" s="40">
        <f t="shared" si="9"/>
        <v>4062.5</v>
      </c>
      <c r="I132" s="40">
        <v>31250</v>
      </c>
      <c r="J132" s="41">
        <f>I132-260</f>
        <v>30990</v>
      </c>
      <c r="K132" s="131"/>
    </row>
    <row r="133" spans="1:11" s="75" customFormat="1" ht="13.5" customHeight="1" hidden="1">
      <c r="A133" s="120"/>
      <c r="B133" s="53" t="s">
        <v>134</v>
      </c>
      <c r="C133" s="54">
        <v>48</v>
      </c>
      <c r="D133" s="55"/>
      <c r="E133" s="56">
        <v>6</v>
      </c>
      <c r="F133" s="57">
        <f>14.57*1.03</f>
        <v>15.007100000000001</v>
      </c>
      <c r="G133" s="57">
        <f>E133*F133</f>
        <v>90.04260000000001</v>
      </c>
      <c r="H133" s="74">
        <f t="shared" si="9"/>
        <v>3240.633174</v>
      </c>
      <c r="I133" s="74">
        <v>35990</v>
      </c>
      <c r="J133" s="59"/>
      <c r="K133" s="102" t="s">
        <v>99</v>
      </c>
    </row>
    <row r="134" spans="1:11" s="48" customFormat="1" ht="13.5" customHeight="1" hidden="1">
      <c r="A134" s="120"/>
      <c r="B134" s="44" t="s">
        <v>135</v>
      </c>
      <c r="C134" s="45">
        <v>50</v>
      </c>
      <c r="D134" s="36" t="s">
        <v>133</v>
      </c>
      <c r="E134" s="46">
        <v>12</v>
      </c>
      <c r="F134" s="47">
        <f>18.06*1.04</f>
        <v>18.7824</v>
      </c>
      <c r="G134" s="47">
        <f>E134*F134</f>
        <v>225.3888</v>
      </c>
      <c r="H134" s="40">
        <f t="shared" si="9"/>
        <v>7043.4</v>
      </c>
      <c r="I134" s="40">
        <v>31250</v>
      </c>
      <c r="J134" s="41">
        <f>I134-260</f>
        <v>30990</v>
      </c>
      <c r="K134" s="131"/>
    </row>
    <row r="135" spans="1:11" s="48" customFormat="1" ht="13.5" customHeight="1" hidden="1">
      <c r="A135" s="120"/>
      <c r="B135" s="44" t="s">
        <v>136</v>
      </c>
      <c r="C135" s="45">
        <v>52</v>
      </c>
      <c r="D135" s="36" t="s">
        <v>133</v>
      </c>
      <c r="E135" s="104" t="s">
        <v>137</v>
      </c>
      <c r="F135" s="47">
        <v>21.47</v>
      </c>
      <c r="G135" s="47">
        <f>E135*F135</f>
        <v>107.35</v>
      </c>
      <c r="H135" s="40">
        <f t="shared" si="9"/>
        <v>3648.8265</v>
      </c>
      <c r="I135" s="40">
        <v>33990</v>
      </c>
      <c r="J135" s="40">
        <f>I135-240</f>
        <v>33750</v>
      </c>
      <c r="K135" s="131"/>
    </row>
    <row r="136" spans="1:11" s="48" customFormat="1" ht="13.5" customHeight="1" hidden="1">
      <c r="A136" s="120"/>
      <c r="B136" s="44" t="s">
        <v>138</v>
      </c>
      <c r="C136" s="45"/>
      <c r="D136" s="36" t="s">
        <v>133</v>
      </c>
      <c r="E136" s="104" t="s">
        <v>139</v>
      </c>
      <c r="F136" s="47"/>
      <c r="G136" s="47">
        <v>192</v>
      </c>
      <c r="H136" s="40">
        <f t="shared" si="9"/>
        <v>6192</v>
      </c>
      <c r="I136" s="40">
        <v>32250</v>
      </c>
      <c r="J136" s="40"/>
      <c r="K136" s="131"/>
    </row>
    <row r="137" spans="1:11" s="48" customFormat="1" ht="13.5" customHeight="1" hidden="1">
      <c r="A137" s="120"/>
      <c r="B137" s="44" t="s">
        <v>140</v>
      </c>
      <c r="C137" s="45"/>
      <c r="D137" s="36" t="s">
        <v>133</v>
      </c>
      <c r="E137" s="104" t="s">
        <v>141</v>
      </c>
      <c r="F137" s="47">
        <v>24.76</v>
      </c>
      <c r="G137" s="47">
        <f>E137*F137</f>
        <v>289.692</v>
      </c>
      <c r="H137" s="40">
        <f t="shared" si="9"/>
        <v>8977.55508</v>
      </c>
      <c r="I137" s="40">
        <v>30990</v>
      </c>
      <c r="J137" s="40">
        <f>I137-240</f>
        <v>30750</v>
      </c>
      <c r="K137" s="131"/>
    </row>
    <row r="138" spans="1:11" s="48" customFormat="1" ht="13.5" customHeight="1" hidden="1">
      <c r="A138" s="120"/>
      <c r="B138" s="108" t="s">
        <v>142</v>
      </c>
      <c r="C138" s="109"/>
      <c r="D138" s="117" t="s">
        <v>133</v>
      </c>
      <c r="E138" s="132" t="s">
        <v>141</v>
      </c>
      <c r="F138" s="118">
        <v>22.42</v>
      </c>
      <c r="G138" s="118">
        <f>E138*F138</f>
        <v>262.314</v>
      </c>
      <c r="H138" s="113">
        <f t="shared" si="9"/>
        <v>8129.110860000001</v>
      </c>
      <c r="I138" s="113">
        <v>30990</v>
      </c>
      <c r="J138" s="40">
        <f>I138-240</f>
        <v>30750</v>
      </c>
      <c r="K138" s="133"/>
    </row>
    <row r="139" spans="1:11" s="48" customFormat="1" ht="13.5" customHeight="1" hidden="1">
      <c r="A139" s="120"/>
      <c r="B139" s="108" t="s">
        <v>143</v>
      </c>
      <c r="C139" s="109">
        <v>80</v>
      </c>
      <c r="D139" s="117" t="s">
        <v>133</v>
      </c>
      <c r="E139" s="132" t="s">
        <v>56</v>
      </c>
      <c r="F139" s="118"/>
      <c r="G139" s="118">
        <v>345</v>
      </c>
      <c r="H139" s="113">
        <f t="shared" si="9"/>
        <v>15521.55</v>
      </c>
      <c r="I139" s="113">
        <v>44990</v>
      </c>
      <c r="J139" s="113"/>
      <c r="K139" s="133"/>
    </row>
    <row r="140" spans="1:11" s="48" customFormat="1" ht="13.5" customHeight="1">
      <c r="A140" s="134"/>
      <c r="B140" s="135"/>
      <c r="C140" s="136"/>
      <c r="D140" s="137"/>
      <c r="E140" s="138"/>
      <c r="F140" s="139"/>
      <c r="G140" s="139"/>
      <c r="H140" s="140"/>
      <c r="I140" s="140"/>
      <c r="J140" s="140"/>
      <c r="K140" s="141"/>
    </row>
    <row r="141" spans="1:11" s="48" customFormat="1" ht="21" customHeight="1" hidden="1">
      <c r="A141" s="120"/>
      <c r="B141" s="28" t="s">
        <v>144</v>
      </c>
      <c r="C141" s="142"/>
      <c r="D141" s="143"/>
      <c r="E141" s="144"/>
      <c r="F141" s="145"/>
      <c r="G141" s="145"/>
      <c r="H141" s="146"/>
      <c r="I141" s="146"/>
      <c r="J141" s="146"/>
      <c r="K141" s="147"/>
    </row>
    <row r="142" spans="1:11" s="50" customFormat="1" ht="13.5" customHeight="1" hidden="1">
      <c r="A142" s="120"/>
      <c r="B142" s="44" t="s">
        <v>145</v>
      </c>
      <c r="C142" s="45">
        <v>5</v>
      </c>
      <c r="D142" s="36">
        <v>20</v>
      </c>
      <c r="E142" s="104" t="s">
        <v>146</v>
      </c>
      <c r="F142" s="123">
        <v>0.962</v>
      </c>
      <c r="G142" s="47">
        <f>E142*F142</f>
        <v>5.098599999999999</v>
      </c>
      <c r="H142" s="40"/>
      <c r="I142" s="40">
        <v>69990</v>
      </c>
      <c r="J142" s="40"/>
      <c r="K142" s="42" t="s">
        <v>147</v>
      </c>
    </row>
    <row r="143" spans="1:11" s="75" customFormat="1" ht="13.5" customHeight="1" hidden="1">
      <c r="A143" s="120"/>
      <c r="B143" s="103" t="s">
        <v>148</v>
      </c>
      <c r="C143" s="54">
        <v>7</v>
      </c>
      <c r="D143" s="55">
        <v>20</v>
      </c>
      <c r="E143" s="101" t="s">
        <v>48</v>
      </c>
      <c r="F143" s="148">
        <v>1.856</v>
      </c>
      <c r="G143" s="57"/>
      <c r="H143" s="74"/>
      <c r="I143" s="149">
        <v>49990</v>
      </c>
      <c r="J143" s="74"/>
      <c r="K143" s="102" t="s">
        <v>147</v>
      </c>
    </row>
    <row r="144" spans="1:11" s="50" customFormat="1" ht="13.5" customHeight="1" hidden="1">
      <c r="A144" s="122"/>
      <c r="B144" s="44" t="s">
        <v>149</v>
      </c>
      <c r="C144" s="45">
        <v>10</v>
      </c>
      <c r="D144" s="36">
        <v>20</v>
      </c>
      <c r="E144" s="104" t="s">
        <v>48</v>
      </c>
      <c r="F144" s="123">
        <v>4.044</v>
      </c>
      <c r="G144" s="47"/>
      <c r="H144" s="40"/>
      <c r="I144" s="149">
        <v>39990</v>
      </c>
      <c r="J144" s="40"/>
      <c r="K144" s="42"/>
    </row>
    <row r="145" spans="1:11" s="50" customFormat="1" ht="13.5" customHeight="1" hidden="1">
      <c r="A145" s="122"/>
      <c r="B145" s="44" t="s">
        <v>150</v>
      </c>
      <c r="C145" s="45">
        <v>11</v>
      </c>
      <c r="D145" s="36">
        <v>20</v>
      </c>
      <c r="E145" s="104" t="s">
        <v>48</v>
      </c>
      <c r="F145" s="47">
        <v>4.93</v>
      </c>
      <c r="G145" s="47"/>
      <c r="H145" s="40"/>
      <c r="I145" s="150">
        <v>39990</v>
      </c>
      <c r="J145" s="40"/>
      <c r="K145" s="42"/>
    </row>
    <row r="146" spans="1:11" s="50" customFormat="1" ht="13.5" customHeight="1" hidden="1">
      <c r="A146" s="122"/>
      <c r="B146" s="44" t="s">
        <v>151</v>
      </c>
      <c r="C146" s="45">
        <v>12</v>
      </c>
      <c r="D146" s="36">
        <v>20</v>
      </c>
      <c r="E146" s="104" t="s">
        <v>48</v>
      </c>
      <c r="F146" s="47">
        <v>4.34</v>
      </c>
      <c r="G146" s="47"/>
      <c r="H146" s="40"/>
      <c r="I146" s="150">
        <v>109990</v>
      </c>
      <c r="J146" s="40"/>
      <c r="K146" s="42" t="s">
        <v>147</v>
      </c>
    </row>
    <row r="147" spans="1:11" s="50" customFormat="1" ht="13.5" customHeight="1" hidden="1">
      <c r="A147" s="122"/>
      <c r="B147" s="44" t="s">
        <v>152</v>
      </c>
      <c r="C147" s="45">
        <v>13</v>
      </c>
      <c r="D147" s="36">
        <v>20</v>
      </c>
      <c r="E147" s="104" t="s">
        <v>48</v>
      </c>
      <c r="F147" s="123">
        <v>6.511</v>
      </c>
      <c r="G147" s="47"/>
      <c r="H147" s="40"/>
      <c r="I147" s="150">
        <v>99990</v>
      </c>
      <c r="J147" s="40"/>
      <c r="K147" s="42" t="s">
        <v>147</v>
      </c>
    </row>
    <row r="148" spans="1:11" s="50" customFormat="1" ht="13.5" customHeight="1" hidden="1">
      <c r="A148" s="122"/>
      <c r="B148" s="44" t="s">
        <v>33</v>
      </c>
      <c r="C148" s="45">
        <v>25</v>
      </c>
      <c r="D148" s="36">
        <v>20</v>
      </c>
      <c r="E148" s="104" t="s">
        <v>48</v>
      </c>
      <c r="F148" s="47">
        <v>4.62</v>
      </c>
      <c r="G148" s="47"/>
      <c r="H148" s="40"/>
      <c r="I148" s="150">
        <v>39990</v>
      </c>
      <c r="J148" s="40"/>
      <c r="K148" s="42"/>
    </row>
    <row r="149" spans="1:11" s="50" customFormat="1" ht="13.5" customHeight="1" hidden="1">
      <c r="A149" s="122"/>
      <c r="B149" s="44" t="s">
        <v>153</v>
      </c>
      <c r="C149" s="45"/>
      <c r="D149" s="36">
        <v>20</v>
      </c>
      <c r="E149" s="104" t="s">
        <v>48</v>
      </c>
      <c r="F149" s="47">
        <v>5.23</v>
      </c>
      <c r="G149" s="47"/>
      <c r="H149" s="40"/>
      <c r="I149" s="150">
        <v>43990</v>
      </c>
      <c r="J149" s="40"/>
      <c r="K149" s="42"/>
    </row>
    <row r="150" spans="1:11" s="50" customFormat="1" ht="13.5" customHeight="1" hidden="1">
      <c r="A150" s="122"/>
      <c r="B150" s="44" t="s">
        <v>154</v>
      </c>
      <c r="C150" s="45">
        <v>25</v>
      </c>
      <c r="D150" s="36">
        <v>20</v>
      </c>
      <c r="E150" s="104" t="s">
        <v>48</v>
      </c>
      <c r="F150" s="47">
        <v>6.41</v>
      </c>
      <c r="G150" s="47"/>
      <c r="H150" s="40"/>
      <c r="I150" s="150">
        <v>39990</v>
      </c>
      <c r="J150" s="40"/>
      <c r="K150" s="42"/>
    </row>
    <row r="151" spans="1:11" s="50" customFormat="1" ht="13.5" customHeight="1" hidden="1">
      <c r="A151" s="122"/>
      <c r="B151" s="44" t="s">
        <v>155</v>
      </c>
      <c r="C151" s="45">
        <v>25</v>
      </c>
      <c r="D151" s="36">
        <v>20</v>
      </c>
      <c r="E151" s="104" t="s">
        <v>48</v>
      </c>
      <c r="F151" s="47">
        <v>8.63</v>
      </c>
      <c r="G151" s="47"/>
      <c r="H151" s="40"/>
      <c r="I151" s="150">
        <v>39990</v>
      </c>
      <c r="J151" s="40"/>
      <c r="K151" s="42"/>
    </row>
    <row r="152" spans="1:11" s="50" customFormat="1" ht="13.5" customHeight="1" hidden="1">
      <c r="A152" s="122"/>
      <c r="B152" s="44" t="s">
        <v>35</v>
      </c>
      <c r="C152" s="45">
        <v>29</v>
      </c>
      <c r="D152" s="36">
        <v>20</v>
      </c>
      <c r="E152" s="104" t="s">
        <v>48</v>
      </c>
      <c r="F152" s="36">
        <v>6.26</v>
      </c>
      <c r="G152" s="47"/>
      <c r="H152" s="40"/>
      <c r="I152" s="150">
        <v>39990</v>
      </c>
      <c r="J152" s="40"/>
      <c r="K152" s="64"/>
    </row>
    <row r="153" spans="1:11" s="50" customFormat="1" ht="13.5" customHeight="1" hidden="1">
      <c r="A153" s="122"/>
      <c r="B153" s="44" t="s">
        <v>156</v>
      </c>
      <c r="C153" s="45">
        <v>34</v>
      </c>
      <c r="D153" s="36">
        <v>20</v>
      </c>
      <c r="E153" s="104" t="s">
        <v>48</v>
      </c>
      <c r="F153" s="36">
        <v>8.39</v>
      </c>
      <c r="G153" s="47"/>
      <c r="H153" s="40"/>
      <c r="I153" s="150">
        <v>39990</v>
      </c>
      <c r="J153" s="40"/>
      <c r="K153" s="64"/>
    </row>
    <row r="154" spans="1:11" s="50" customFormat="1" ht="13.5" customHeight="1" hidden="1">
      <c r="A154" s="122"/>
      <c r="B154" s="44" t="s">
        <v>35</v>
      </c>
      <c r="C154" s="45">
        <v>29</v>
      </c>
      <c r="D154" s="36">
        <v>20</v>
      </c>
      <c r="E154" s="104" t="s">
        <v>48</v>
      </c>
      <c r="F154" s="36">
        <v>6.26</v>
      </c>
      <c r="G154" s="47"/>
      <c r="H154" s="40"/>
      <c r="I154" s="150">
        <v>39990</v>
      </c>
      <c r="J154" s="40"/>
      <c r="K154" s="42"/>
    </row>
    <row r="155" spans="1:11" s="50" customFormat="1" ht="13.5" customHeight="1" hidden="1">
      <c r="A155" s="122"/>
      <c r="B155" s="44" t="s">
        <v>157</v>
      </c>
      <c r="C155" s="45">
        <v>31</v>
      </c>
      <c r="D155" s="36">
        <v>20</v>
      </c>
      <c r="E155" s="104" t="s">
        <v>158</v>
      </c>
      <c r="F155" s="36">
        <v>7.1</v>
      </c>
      <c r="G155" s="47">
        <f>E155*F155</f>
        <v>46.15</v>
      </c>
      <c r="H155" s="40">
        <f>I155/(1000/G155)</f>
        <v>1384.0385</v>
      </c>
      <c r="I155" s="150">
        <v>29990</v>
      </c>
      <c r="J155" s="40"/>
      <c r="K155" s="42"/>
    </row>
    <row r="156" spans="1:11" s="50" customFormat="1" ht="13.5" customHeight="1" hidden="1">
      <c r="A156" s="122"/>
      <c r="B156" s="44" t="s">
        <v>159</v>
      </c>
      <c r="C156" s="45"/>
      <c r="D156" s="36">
        <v>20</v>
      </c>
      <c r="E156" s="104" t="s">
        <v>48</v>
      </c>
      <c r="F156" s="36">
        <v>12.28</v>
      </c>
      <c r="G156" s="47"/>
      <c r="H156" s="40"/>
      <c r="I156" s="150">
        <v>43990</v>
      </c>
      <c r="J156" s="40"/>
      <c r="K156" s="42" t="s">
        <v>160</v>
      </c>
    </row>
    <row r="157" spans="1:11" s="50" customFormat="1" ht="13.5" customHeight="1" hidden="1">
      <c r="A157" s="122"/>
      <c r="B157" s="44" t="s">
        <v>37</v>
      </c>
      <c r="C157" s="45">
        <v>20</v>
      </c>
      <c r="D157" s="36">
        <v>20</v>
      </c>
      <c r="E157" s="104" t="s">
        <v>48</v>
      </c>
      <c r="F157" s="47">
        <v>9.02</v>
      </c>
      <c r="G157" s="47"/>
      <c r="H157" s="40"/>
      <c r="I157" s="150">
        <v>39990</v>
      </c>
      <c r="J157" s="40">
        <f>I157-240</f>
        <v>39750</v>
      </c>
      <c r="K157" s="151"/>
    </row>
    <row r="158" spans="1:11" s="50" customFormat="1" ht="13.5" customHeight="1" hidden="1">
      <c r="A158" s="122"/>
      <c r="B158" s="44" t="s">
        <v>38</v>
      </c>
      <c r="C158" s="45">
        <v>55</v>
      </c>
      <c r="D158" s="36">
        <v>20</v>
      </c>
      <c r="E158" s="104" t="s">
        <v>48</v>
      </c>
      <c r="F158" s="47">
        <v>10.26</v>
      </c>
      <c r="G158" s="47"/>
      <c r="H158" s="40"/>
      <c r="I158" s="150">
        <v>39990</v>
      </c>
      <c r="J158" s="40"/>
      <c r="K158" s="151"/>
    </row>
    <row r="159" spans="1:11" s="50" customFormat="1" ht="13.5" customHeight="1" hidden="1">
      <c r="A159" s="122"/>
      <c r="B159" s="44" t="s">
        <v>161</v>
      </c>
      <c r="C159" s="45"/>
      <c r="D159" s="36">
        <v>20</v>
      </c>
      <c r="E159" s="104" t="s">
        <v>48</v>
      </c>
      <c r="F159" s="47">
        <v>12.7</v>
      </c>
      <c r="G159" s="47"/>
      <c r="H159" s="40"/>
      <c r="I159" s="150">
        <v>39990</v>
      </c>
      <c r="J159" s="40">
        <f>I159-240</f>
        <v>39750</v>
      </c>
      <c r="K159" s="151"/>
    </row>
    <row r="160" spans="1:11" s="50" customFormat="1" ht="13.5" customHeight="1" hidden="1">
      <c r="A160" s="122"/>
      <c r="B160" s="44" t="s">
        <v>162</v>
      </c>
      <c r="C160" s="45"/>
      <c r="D160" s="36">
        <v>20</v>
      </c>
      <c r="E160" s="104"/>
      <c r="F160" s="47">
        <v>15.09</v>
      </c>
      <c r="G160" s="47"/>
      <c r="H160" s="40"/>
      <c r="I160" s="150">
        <v>59990</v>
      </c>
      <c r="J160" s="40">
        <f>I160-240</f>
        <v>59750</v>
      </c>
      <c r="K160" s="151"/>
    </row>
    <row r="161" spans="1:11" s="50" customFormat="1" ht="13.5" customHeight="1" hidden="1">
      <c r="A161" s="122"/>
      <c r="B161" s="108" t="s">
        <v>61</v>
      </c>
      <c r="C161" s="109">
        <v>69</v>
      </c>
      <c r="D161" s="36">
        <v>20</v>
      </c>
      <c r="E161" s="104" t="s">
        <v>48</v>
      </c>
      <c r="F161" s="47">
        <v>15.78</v>
      </c>
      <c r="G161" s="38"/>
      <c r="H161" s="40"/>
      <c r="I161" s="150">
        <v>39990</v>
      </c>
      <c r="J161" s="40"/>
      <c r="K161" s="152"/>
    </row>
    <row r="162" spans="1:11" s="50" customFormat="1" ht="13.5" customHeight="1" hidden="1">
      <c r="A162" s="122"/>
      <c r="B162" s="108" t="s">
        <v>163</v>
      </c>
      <c r="C162" s="109">
        <v>78</v>
      </c>
      <c r="D162" s="36">
        <v>20</v>
      </c>
      <c r="E162" s="104" t="s">
        <v>48</v>
      </c>
      <c r="F162" s="153">
        <v>18.99</v>
      </c>
      <c r="G162" s="38"/>
      <c r="H162" s="40"/>
      <c r="I162" s="150">
        <v>29990</v>
      </c>
      <c r="J162" s="40"/>
      <c r="K162" s="42"/>
    </row>
    <row r="163" spans="1:11" s="50" customFormat="1" ht="13.5" customHeight="1" hidden="1">
      <c r="A163" s="122"/>
      <c r="B163" s="44" t="s">
        <v>164</v>
      </c>
      <c r="C163" s="45"/>
      <c r="D163" s="36">
        <v>20</v>
      </c>
      <c r="E163" s="104" t="s">
        <v>48</v>
      </c>
      <c r="F163" s="153">
        <v>22.64</v>
      </c>
      <c r="G163" s="47"/>
      <c r="H163" s="40"/>
      <c r="I163" s="150">
        <v>43990</v>
      </c>
      <c r="J163" s="40"/>
      <c r="K163" s="42" t="s">
        <v>165</v>
      </c>
    </row>
    <row r="164" spans="1:11" s="50" customFormat="1" ht="13.5" customHeight="1" hidden="1">
      <c r="A164" s="122"/>
      <c r="B164" s="44" t="s">
        <v>166</v>
      </c>
      <c r="C164" s="45"/>
      <c r="D164" s="36">
        <v>20</v>
      </c>
      <c r="E164" s="104" t="s">
        <v>48</v>
      </c>
      <c r="F164" s="153">
        <v>22.64</v>
      </c>
      <c r="G164" s="47"/>
      <c r="H164" s="40"/>
      <c r="I164" s="150">
        <v>43990</v>
      </c>
      <c r="J164" s="40"/>
      <c r="K164" s="42" t="s">
        <v>167</v>
      </c>
    </row>
    <row r="165" spans="1:11" s="155" customFormat="1" ht="13.5" customHeight="1" hidden="1">
      <c r="A165" s="154"/>
      <c r="B165" s="44" t="s">
        <v>72</v>
      </c>
      <c r="C165" s="45"/>
      <c r="D165" s="36">
        <v>20</v>
      </c>
      <c r="E165" s="104" t="s">
        <v>48</v>
      </c>
      <c r="F165" s="47">
        <v>45.92</v>
      </c>
      <c r="G165" s="47"/>
      <c r="H165" s="40"/>
      <c r="I165" s="150">
        <v>43990</v>
      </c>
      <c r="J165" s="40"/>
      <c r="K165" s="42"/>
    </row>
    <row r="166" spans="1:11" s="155" customFormat="1" ht="13.5" customHeight="1" hidden="1">
      <c r="A166" s="154"/>
      <c r="B166" s="44" t="s">
        <v>73</v>
      </c>
      <c r="C166" s="45"/>
      <c r="D166" s="36">
        <v>20</v>
      </c>
      <c r="E166" s="104" t="s">
        <v>48</v>
      </c>
      <c r="F166" s="47">
        <v>52.28</v>
      </c>
      <c r="G166" s="47"/>
      <c r="H166" s="40"/>
      <c r="I166" s="150">
        <v>43990</v>
      </c>
      <c r="J166" s="150"/>
      <c r="K166" s="42" t="s">
        <v>160</v>
      </c>
    </row>
    <row r="167" spans="1:11" s="52" customFormat="1" ht="13.5" customHeight="1" hidden="1">
      <c r="A167" s="156"/>
      <c r="B167" s="44" t="s">
        <v>168</v>
      </c>
      <c r="C167" s="45"/>
      <c r="D167" s="36">
        <v>20</v>
      </c>
      <c r="E167" s="104" t="s">
        <v>48</v>
      </c>
      <c r="F167" s="47">
        <v>58.6</v>
      </c>
      <c r="G167" s="47"/>
      <c r="H167" s="40"/>
      <c r="I167" s="150">
        <v>43990</v>
      </c>
      <c r="J167" s="40"/>
      <c r="K167" s="42" t="s">
        <v>165</v>
      </c>
    </row>
    <row r="168" spans="1:11" s="50" customFormat="1" ht="13.5" customHeight="1" hidden="1">
      <c r="A168" s="122"/>
      <c r="B168" s="44" t="s">
        <v>169</v>
      </c>
      <c r="C168" s="45"/>
      <c r="D168" s="36">
        <v>20</v>
      </c>
      <c r="E168" s="104" t="s">
        <v>48</v>
      </c>
      <c r="F168" s="47">
        <v>62.54</v>
      </c>
      <c r="G168" s="47"/>
      <c r="H168" s="40"/>
      <c r="I168" s="150">
        <v>43990</v>
      </c>
      <c r="J168" s="40"/>
      <c r="K168" s="42"/>
    </row>
    <row r="169" spans="1:11" s="48" customFormat="1" ht="13.5" customHeight="1" hidden="1">
      <c r="A169" s="120"/>
      <c r="B169" s="44" t="s">
        <v>170</v>
      </c>
      <c r="C169" s="45"/>
      <c r="D169" s="36">
        <v>20</v>
      </c>
      <c r="E169" s="104" t="s">
        <v>171</v>
      </c>
      <c r="F169" s="47">
        <v>81.68</v>
      </c>
      <c r="G169" s="47">
        <f>E169*F169</f>
        <v>905.8312000000001</v>
      </c>
      <c r="H169" s="40">
        <f>I169/(1000/G169)</f>
        <v>41659.176888</v>
      </c>
      <c r="I169" s="150">
        <v>45990</v>
      </c>
      <c r="J169" s="74"/>
      <c r="K169" s="42"/>
    </row>
    <row r="170" spans="1:11" s="48" customFormat="1" ht="13.5" customHeight="1" hidden="1">
      <c r="A170" s="120"/>
      <c r="B170" s="108" t="s">
        <v>81</v>
      </c>
      <c r="C170" s="109"/>
      <c r="D170" s="117">
        <v>20</v>
      </c>
      <c r="E170" s="132" t="s">
        <v>48</v>
      </c>
      <c r="F170" s="118">
        <v>92.56</v>
      </c>
      <c r="G170" s="118"/>
      <c r="H170" s="113"/>
      <c r="I170" s="157">
        <v>34990</v>
      </c>
      <c r="J170" s="115"/>
      <c r="K170" s="121"/>
    </row>
    <row r="171" spans="1:11" s="48" customFormat="1" ht="13.5" customHeight="1" hidden="1">
      <c r="A171" s="120"/>
      <c r="B171" s="108" t="s">
        <v>82</v>
      </c>
      <c r="C171" s="109"/>
      <c r="D171" s="117">
        <v>20</v>
      </c>
      <c r="E171" s="132" t="s">
        <v>172</v>
      </c>
      <c r="F171" s="118">
        <v>102.59</v>
      </c>
      <c r="G171" s="118">
        <f>E171*F171</f>
        <v>632.9803</v>
      </c>
      <c r="H171" s="113">
        <f>I171/(1000/G171)</f>
        <v>29743.744297000005</v>
      </c>
      <c r="I171" s="157">
        <v>46990</v>
      </c>
      <c r="J171" s="115"/>
      <c r="K171" s="110"/>
    </row>
    <row r="174" spans="1:11" ht="13.5" customHeight="1">
      <c r="A174" s="15" t="s">
        <v>4</v>
      </c>
      <c r="B174" s="270" t="s">
        <v>5</v>
      </c>
      <c r="C174" s="16" t="s">
        <v>6</v>
      </c>
      <c r="D174" s="271" t="s">
        <v>7</v>
      </c>
      <c r="E174" s="17" t="s">
        <v>8</v>
      </c>
      <c r="F174" s="18" t="s">
        <v>9</v>
      </c>
      <c r="G174" s="19" t="s">
        <v>10</v>
      </c>
      <c r="H174" s="20" t="s">
        <v>11</v>
      </c>
      <c r="I174" s="274" t="s">
        <v>12</v>
      </c>
      <c r="J174" s="274"/>
      <c r="K174" s="273" t="s">
        <v>13</v>
      </c>
    </row>
    <row r="175" spans="1:11" ht="13.5" customHeight="1">
      <c r="A175" s="15"/>
      <c r="B175" s="270"/>
      <c r="C175" s="21" t="s">
        <v>14</v>
      </c>
      <c r="D175" s="271"/>
      <c r="E175" s="22" t="s">
        <v>15</v>
      </c>
      <c r="F175" s="23" t="s">
        <v>16</v>
      </c>
      <c r="G175" s="24" t="s">
        <v>16</v>
      </c>
      <c r="H175" s="25" t="s">
        <v>14</v>
      </c>
      <c r="I175" s="26" t="s">
        <v>17</v>
      </c>
      <c r="J175" s="27" t="s">
        <v>18</v>
      </c>
      <c r="K175" s="273"/>
    </row>
    <row r="176" spans="1:12" s="48" customFormat="1" ht="21" customHeight="1">
      <c r="A176" s="120"/>
      <c r="B176" s="158" t="s">
        <v>173</v>
      </c>
      <c r="C176" s="159"/>
      <c r="D176" s="159"/>
      <c r="E176" s="159"/>
      <c r="F176" s="159"/>
      <c r="G176" s="159"/>
      <c r="H176" s="159"/>
      <c r="I176" s="159"/>
      <c r="J176" s="159"/>
      <c r="K176" s="160"/>
      <c r="L176" s="48">
        <v>273</v>
      </c>
    </row>
    <row r="177" spans="1:11" s="48" customFormat="1" ht="13.5" customHeight="1" hidden="1">
      <c r="A177" s="120"/>
      <c r="B177" s="161" t="s">
        <v>174</v>
      </c>
      <c r="C177" s="161"/>
      <c r="D177" s="162" t="s">
        <v>175</v>
      </c>
      <c r="E177" s="163" t="s">
        <v>176</v>
      </c>
      <c r="F177" s="161"/>
      <c r="G177" s="162"/>
      <c r="H177" s="39"/>
      <c r="I177" s="41">
        <v>33490</v>
      </c>
      <c r="J177" s="41">
        <f>I177-240</f>
        <v>33250</v>
      </c>
      <c r="K177" s="164" t="s">
        <v>177</v>
      </c>
    </row>
    <row r="178" spans="1:11" s="50" customFormat="1" ht="13.5" customHeight="1" hidden="1">
      <c r="A178" s="122"/>
      <c r="B178" s="161" t="s">
        <v>174</v>
      </c>
      <c r="C178" s="161"/>
      <c r="D178" s="165" t="s">
        <v>175</v>
      </c>
      <c r="E178" s="162" t="s">
        <v>178</v>
      </c>
      <c r="F178" s="161"/>
      <c r="G178" s="166">
        <v>8</v>
      </c>
      <c r="H178" s="39">
        <f aca="true" t="shared" si="11" ref="H178:H191">I178/(1000/G178)</f>
        <v>227.92</v>
      </c>
      <c r="I178" s="41">
        <v>28490</v>
      </c>
      <c r="J178" s="41"/>
      <c r="K178" s="167"/>
    </row>
    <row r="179" spans="1:11" s="48" customFormat="1" ht="13.5" customHeight="1" hidden="1">
      <c r="A179" s="120"/>
      <c r="B179" s="161" t="s">
        <v>179</v>
      </c>
      <c r="C179" s="161"/>
      <c r="D179" s="165"/>
      <c r="E179" s="162" t="s">
        <v>176</v>
      </c>
      <c r="F179" s="161"/>
      <c r="G179" s="162">
        <v>13.75</v>
      </c>
      <c r="H179" s="39">
        <f t="shared" si="11"/>
        <v>481.11249999999995</v>
      </c>
      <c r="I179" s="41">
        <v>34990</v>
      </c>
      <c r="J179" s="41">
        <f>I179-240</f>
        <v>34750</v>
      </c>
      <c r="K179" s="168"/>
    </row>
    <row r="180" spans="1:11" s="48" customFormat="1" ht="13.5" customHeight="1" hidden="1">
      <c r="A180" s="120"/>
      <c r="B180" s="161" t="s">
        <v>180</v>
      </c>
      <c r="C180" s="161"/>
      <c r="D180" s="165" t="s">
        <v>181</v>
      </c>
      <c r="E180" s="162" t="s">
        <v>176</v>
      </c>
      <c r="F180" s="161"/>
      <c r="G180" s="162">
        <v>15</v>
      </c>
      <c r="H180" s="39">
        <f t="shared" si="11"/>
        <v>524.8499999999999</v>
      </c>
      <c r="I180" s="41">
        <v>34990</v>
      </c>
      <c r="J180" s="41">
        <f>I180-240</f>
        <v>34750</v>
      </c>
      <c r="K180" s="167"/>
    </row>
    <row r="181" spans="1:11" s="50" customFormat="1" ht="13.5" customHeight="1" hidden="1">
      <c r="A181" s="120"/>
      <c r="B181" s="161" t="s">
        <v>182</v>
      </c>
      <c r="C181" s="161"/>
      <c r="D181" s="165" t="s">
        <v>175</v>
      </c>
      <c r="E181" s="162" t="s">
        <v>176</v>
      </c>
      <c r="F181" s="161"/>
      <c r="G181" s="162">
        <v>17.5</v>
      </c>
      <c r="H181" s="39">
        <f t="shared" si="11"/>
        <v>594.8249999999999</v>
      </c>
      <c r="I181" s="41">
        <v>33990</v>
      </c>
      <c r="J181" s="41">
        <f>I181-240</f>
        <v>33750</v>
      </c>
      <c r="K181" s="167"/>
    </row>
    <row r="182" spans="1:11" s="48" customFormat="1" ht="13.5" customHeight="1" hidden="1">
      <c r="A182" s="120"/>
      <c r="B182" s="76" t="s">
        <v>183</v>
      </c>
      <c r="C182" s="169"/>
      <c r="D182" s="165"/>
      <c r="E182" s="170" t="s">
        <v>176</v>
      </c>
      <c r="F182" s="38"/>
      <c r="G182" s="38">
        <v>20</v>
      </c>
      <c r="H182" s="39">
        <f t="shared" si="11"/>
        <v>599.8</v>
      </c>
      <c r="I182" s="41">
        <v>29990</v>
      </c>
      <c r="J182" s="41">
        <f>I182-240</f>
        <v>29750</v>
      </c>
      <c r="K182" s="171"/>
    </row>
    <row r="183" spans="1:11" s="48" customFormat="1" ht="13.5" customHeight="1" hidden="1">
      <c r="A183" s="120"/>
      <c r="B183" s="76" t="s">
        <v>184</v>
      </c>
      <c r="C183" s="169"/>
      <c r="D183" s="165" t="s">
        <v>181</v>
      </c>
      <c r="E183" s="170" t="s">
        <v>176</v>
      </c>
      <c r="F183" s="38"/>
      <c r="G183" s="38">
        <v>22.53</v>
      </c>
      <c r="H183" s="39">
        <f t="shared" si="11"/>
        <v>765.7947</v>
      </c>
      <c r="I183" s="41">
        <v>33990</v>
      </c>
      <c r="J183" s="41">
        <f>I183-240</f>
        <v>33750</v>
      </c>
      <c r="K183" s="171"/>
    </row>
    <row r="184" spans="1:12" s="50" customFormat="1" ht="13.5" customHeight="1">
      <c r="A184" s="122"/>
      <c r="B184" s="44" t="s">
        <v>185</v>
      </c>
      <c r="C184" s="172"/>
      <c r="D184" s="165" t="s">
        <v>175</v>
      </c>
      <c r="E184" s="163" t="s">
        <v>176</v>
      </c>
      <c r="F184" s="47"/>
      <c r="G184" s="47">
        <v>25.2</v>
      </c>
      <c r="H184" s="41">
        <f t="shared" si="11"/>
        <v>1310.148</v>
      </c>
      <c r="I184" s="41">
        <v>51990</v>
      </c>
      <c r="J184" s="40"/>
      <c r="K184" s="42"/>
      <c r="L184" s="50">
        <v>273</v>
      </c>
    </row>
    <row r="185" spans="1:12" s="50" customFormat="1" ht="13.5" customHeight="1">
      <c r="A185" s="122"/>
      <c r="B185" s="44" t="s">
        <v>186</v>
      </c>
      <c r="C185" s="173"/>
      <c r="D185" s="165" t="s">
        <v>175</v>
      </c>
      <c r="E185" s="163" t="s">
        <v>176</v>
      </c>
      <c r="F185" s="47"/>
      <c r="G185" s="47">
        <v>31.68</v>
      </c>
      <c r="H185" s="41">
        <f t="shared" si="11"/>
        <v>1599.5231999999999</v>
      </c>
      <c r="I185" s="41">
        <v>50490</v>
      </c>
      <c r="J185" s="40"/>
      <c r="K185" s="42"/>
      <c r="L185" s="50">
        <v>273</v>
      </c>
    </row>
    <row r="186" spans="1:11" s="50" customFormat="1" ht="13.5" customHeight="1" hidden="1">
      <c r="A186" s="122"/>
      <c r="B186" s="44" t="s">
        <v>187</v>
      </c>
      <c r="C186" s="173"/>
      <c r="D186" s="36" t="s">
        <v>175</v>
      </c>
      <c r="E186" s="163" t="s">
        <v>178</v>
      </c>
      <c r="F186" s="47"/>
      <c r="G186" s="47">
        <v>24.26</v>
      </c>
      <c r="H186" s="41">
        <f t="shared" si="11"/>
        <v>1055.0674000000001</v>
      </c>
      <c r="I186" s="41">
        <v>43490</v>
      </c>
      <c r="J186" s="40">
        <f>I186-240</f>
        <v>43250</v>
      </c>
      <c r="K186" s="65"/>
    </row>
    <row r="187" spans="1:12" s="50" customFormat="1" ht="13.5" customHeight="1">
      <c r="A187" s="122"/>
      <c r="B187" s="44" t="s">
        <v>187</v>
      </c>
      <c r="C187" s="173"/>
      <c r="D187" s="36" t="s">
        <v>175</v>
      </c>
      <c r="E187" s="163" t="s">
        <v>176</v>
      </c>
      <c r="F187" s="47"/>
      <c r="G187" s="47">
        <v>38</v>
      </c>
      <c r="H187" s="41">
        <f t="shared" si="11"/>
        <v>1918.6200000000001</v>
      </c>
      <c r="I187" s="41">
        <v>50490</v>
      </c>
      <c r="J187" s="40"/>
      <c r="K187" s="42"/>
      <c r="L187" s="50">
        <v>273</v>
      </c>
    </row>
    <row r="188" spans="1:11" s="75" customFormat="1" ht="13.5" customHeight="1" hidden="1">
      <c r="A188" s="120"/>
      <c r="B188" s="103" t="s">
        <v>188</v>
      </c>
      <c r="C188" s="174"/>
      <c r="D188" s="55" t="s">
        <v>175</v>
      </c>
      <c r="E188" s="175" t="s">
        <v>178</v>
      </c>
      <c r="F188" s="57"/>
      <c r="G188" s="57">
        <v>32</v>
      </c>
      <c r="H188" s="74">
        <f t="shared" si="11"/>
        <v>1535.68</v>
      </c>
      <c r="I188" s="59">
        <v>47990</v>
      </c>
      <c r="J188" s="74"/>
      <c r="K188" s="102"/>
    </row>
    <row r="189" spans="1:12" s="50" customFormat="1" ht="13.5" customHeight="1">
      <c r="A189" s="122"/>
      <c r="B189" s="44" t="s">
        <v>188</v>
      </c>
      <c r="C189" s="173"/>
      <c r="D189" s="36" t="s">
        <v>175</v>
      </c>
      <c r="E189" s="163" t="s">
        <v>176</v>
      </c>
      <c r="F189" s="47"/>
      <c r="G189" s="47">
        <v>51</v>
      </c>
      <c r="H189" s="40">
        <f t="shared" si="11"/>
        <v>2651.49</v>
      </c>
      <c r="I189" s="41">
        <v>51990</v>
      </c>
      <c r="J189" s="40"/>
      <c r="K189" s="63" t="s">
        <v>31</v>
      </c>
      <c r="L189" s="50">
        <v>273</v>
      </c>
    </row>
    <row r="190" spans="1:11" s="48" customFormat="1" ht="13.5" customHeight="1" hidden="1">
      <c r="A190" s="120"/>
      <c r="B190" s="76" t="s">
        <v>189</v>
      </c>
      <c r="C190" s="176">
        <v>25</v>
      </c>
      <c r="D190" s="37" t="s">
        <v>175</v>
      </c>
      <c r="E190" s="170" t="s">
        <v>176</v>
      </c>
      <c r="F190" s="38"/>
      <c r="G190" s="38">
        <v>62.58</v>
      </c>
      <c r="H190" s="39">
        <f t="shared" si="11"/>
        <v>2690.3142000000003</v>
      </c>
      <c r="I190" s="41">
        <v>42990</v>
      </c>
      <c r="J190" s="40">
        <f>I190-240</f>
        <v>42750</v>
      </c>
      <c r="K190" s="177"/>
    </row>
    <row r="191" spans="1:11" s="181" customFormat="1" ht="13.5" customHeight="1" hidden="1">
      <c r="A191" s="120"/>
      <c r="B191" s="108" t="s">
        <v>190</v>
      </c>
      <c r="C191" s="178">
        <v>30</v>
      </c>
      <c r="D191" s="117" t="s">
        <v>175</v>
      </c>
      <c r="E191" s="179" t="s">
        <v>176</v>
      </c>
      <c r="F191" s="118"/>
      <c r="G191" s="118">
        <v>76.32</v>
      </c>
      <c r="H191" s="180">
        <f t="shared" si="11"/>
        <v>3280.9967999999994</v>
      </c>
      <c r="I191" s="41">
        <v>42990</v>
      </c>
      <c r="J191" s="40">
        <f>I191-240</f>
        <v>42750</v>
      </c>
      <c r="K191" s="121"/>
    </row>
    <row r="192" spans="1:12" s="48" customFormat="1" ht="21" customHeight="1">
      <c r="A192" s="120"/>
      <c r="B192" s="28" t="s">
        <v>191</v>
      </c>
      <c r="C192" s="30"/>
      <c r="D192" s="30"/>
      <c r="E192" s="30"/>
      <c r="F192" s="30"/>
      <c r="G192" s="30"/>
      <c r="H192" s="30"/>
      <c r="I192" s="30"/>
      <c r="J192" s="30"/>
      <c r="K192" s="66"/>
      <c r="L192" s="48">
        <v>274</v>
      </c>
    </row>
    <row r="193" spans="1:11" s="48" customFormat="1" ht="13.5" customHeight="1" hidden="1">
      <c r="A193" s="120"/>
      <c r="B193" s="44" t="s">
        <v>192</v>
      </c>
      <c r="C193" s="173"/>
      <c r="D193" s="36" t="s">
        <v>175</v>
      </c>
      <c r="E193" s="163" t="s">
        <v>176</v>
      </c>
      <c r="F193" s="47"/>
      <c r="G193" s="47">
        <v>38</v>
      </c>
      <c r="H193" s="41">
        <f aca="true" t="shared" si="12" ref="H193:H226">I193/(1000/G193)</f>
        <v>1139.6200000000001</v>
      </c>
      <c r="I193" s="41">
        <v>29990</v>
      </c>
      <c r="J193" s="40"/>
      <c r="K193" s="171"/>
    </row>
    <row r="194" spans="1:11" s="48" customFormat="1" ht="13.5" customHeight="1" hidden="1">
      <c r="A194" s="120"/>
      <c r="B194" s="44" t="s">
        <v>193</v>
      </c>
      <c r="C194" s="45"/>
      <c r="D194" s="36"/>
      <c r="E194" s="163" t="s">
        <v>176</v>
      </c>
      <c r="F194" s="47"/>
      <c r="G194" s="182">
        <v>45</v>
      </c>
      <c r="H194" s="41">
        <f t="shared" si="12"/>
        <v>1304.55</v>
      </c>
      <c r="I194" s="41">
        <v>28990</v>
      </c>
      <c r="J194" s="40"/>
      <c r="K194" s="42"/>
    </row>
    <row r="195" spans="1:11" s="52" customFormat="1" ht="13.5" customHeight="1" hidden="1">
      <c r="A195" s="156"/>
      <c r="B195" s="44" t="s">
        <v>194</v>
      </c>
      <c r="C195" s="45"/>
      <c r="D195" s="36" t="s">
        <v>85</v>
      </c>
      <c r="E195" s="183" t="s">
        <v>178</v>
      </c>
      <c r="F195" s="47"/>
      <c r="G195" s="182">
        <v>32</v>
      </c>
      <c r="H195" s="41">
        <f t="shared" si="12"/>
        <v>1279.68</v>
      </c>
      <c r="I195" s="41">
        <v>39990</v>
      </c>
      <c r="J195" s="40"/>
      <c r="K195" s="63"/>
    </row>
    <row r="196" spans="1:12" s="52" customFormat="1" ht="13.5" customHeight="1">
      <c r="A196" s="156"/>
      <c r="B196" s="44" t="s">
        <v>194</v>
      </c>
      <c r="C196" s="45"/>
      <c r="D196" s="36" t="s">
        <v>85</v>
      </c>
      <c r="E196" s="183" t="s">
        <v>176</v>
      </c>
      <c r="F196" s="47"/>
      <c r="G196" s="182">
        <v>51</v>
      </c>
      <c r="H196" s="41">
        <f t="shared" si="12"/>
        <v>2447.49</v>
      </c>
      <c r="I196" s="41">
        <v>47990</v>
      </c>
      <c r="J196" s="40">
        <f aca="true" t="shared" si="13" ref="J196:J203">I196-240</f>
        <v>47750</v>
      </c>
      <c r="K196" s="63"/>
      <c r="L196" s="52">
        <v>274</v>
      </c>
    </row>
    <row r="197" spans="1:11" s="48" customFormat="1" ht="13.5" customHeight="1" hidden="1">
      <c r="A197" s="120"/>
      <c r="B197" s="44" t="s">
        <v>195</v>
      </c>
      <c r="C197" s="45"/>
      <c r="D197" s="36"/>
      <c r="E197" s="163" t="s">
        <v>176</v>
      </c>
      <c r="F197" s="47"/>
      <c r="G197" s="182">
        <v>65</v>
      </c>
      <c r="H197" s="41">
        <f t="shared" si="12"/>
        <v>2729.35</v>
      </c>
      <c r="I197" s="41">
        <v>41990</v>
      </c>
      <c r="J197" s="40">
        <f t="shared" si="13"/>
        <v>41750</v>
      </c>
      <c r="K197" s="64"/>
    </row>
    <row r="198" spans="1:11" s="48" customFormat="1" ht="13.5" customHeight="1" hidden="1">
      <c r="A198" s="120"/>
      <c r="B198" s="44" t="s">
        <v>196</v>
      </c>
      <c r="C198" s="45"/>
      <c r="D198" s="36" t="s">
        <v>87</v>
      </c>
      <c r="E198" s="163" t="s">
        <v>178</v>
      </c>
      <c r="F198" s="47"/>
      <c r="G198" s="182">
        <v>48</v>
      </c>
      <c r="H198" s="40">
        <f t="shared" si="12"/>
        <v>2015.5200000000002</v>
      </c>
      <c r="I198" s="41">
        <v>41990</v>
      </c>
      <c r="J198" s="40">
        <f t="shared" si="13"/>
        <v>41750</v>
      </c>
      <c r="K198" s="64"/>
    </row>
    <row r="199" spans="1:12" s="50" customFormat="1" ht="13.5" customHeight="1">
      <c r="A199" s="122"/>
      <c r="B199" s="44" t="s">
        <v>196</v>
      </c>
      <c r="C199" s="45"/>
      <c r="D199" s="36" t="s">
        <v>87</v>
      </c>
      <c r="E199" s="163" t="s">
        <v>176</v>
      </c>
      <c r="F199" s="47"/>
      <c r="G199" s="182">
        <v>76</v>
      </c>
      <c r="H199" s="40">
        <f t="shared" si="12"/>
        <v>3609.2400000000002</v>
      </c>
      <c r="I199" s="41">
        <v>47490</v>
      </c>
      <c r="J199" s="40">
        <f t="shared" si="13"/>
        <v>47250</v>
      </c>
      <c r="K199" s="184"/>
      <c r="L199" s="50">
        <v>274</v>
      </c>
    </row>
    <row r="200" spans="1:11" s="50" customFormat="1" ht="13.5" customHeight="1" hidden="1">
      <c r="A200" s="122"/>
      <c r="B200" s="44" t="s">
        <v>196</v>
      </c>
      <c r="C200" s="45">
        <v>45</v>
      </c>
      <c r="D200" s="36" t="s">
        <v>87</v>
      </c>
      <c r="E200" s="163" t="s">
        <v>197</v>
      </c>
      <c r="F200" s="47"/>
      <c r="G200" s="185">
        <v>216.4</v>
      </c>
      <c r="H200" s="40">
        <f t="shared" si="12"/>
        <v>6706.236</v>
      </c>
      <c r="I200" s="41">
        <v>30990</v>
      </c>
      <c r="J200" s="40">
        <f t="shared" si="13"/>
        <v>30750</v>
      </c>
      <c r="K200" s="64"/>
    </row>
    <row r="201" spans="1:11" s="50" customFormat="1" ht="13.5" customHeight="1" hidden="1">
      <c r="A201" s="122"/>
      <c r="B201" s="44" t="s">
        <v>198</v>
      </c>
      <c r="C201" s="45"/>
      <c r="D201" s="36"/>
      <c r="E201" s="163" t="s">
        <v>176</v>
      </c>
      <c r="F201" s="47"/>
      <c r="G201" s="182">
        <v>100</v>
      </c>
      <c r="H201" s="41">
        <f t="shared" si="12"/>
        <v>3099</v>
      </c>
      <c r="I201" s="41">
        <v>30990</v>
      </c>
      <c r="J201" s="40">
        <f t="shared" si="13"/>
        <v>30750</v>
      </c>
      <c r="K201" s="131"/>
    </row>
    <row r="202" spans="1:11" s="155" customFormat="1" ht="13.5" customHeight="1" hidden="1">
      <c r="A202" s="122"/>
      <c r="B202" s="44" t="s">
        <v>198</v>
      </c>
      <c r="C202" s="45">
        <v>40</v>
      </c>
      <c r="D202" s="36"/>
      <c r="E202" s="163" t="s">
        <v>199</v>
      </c>
      <c r="F202" s="47"/>
      <c r="G202" s="182">
        <v>270</v>
      </c>
      <c r="H202" s="41">
        <f t="shared" si="12"/>
        <v>8367.3</v>
      </c>
      <c r="I202" s="41">
        <v>30990</v>
      </c>
      <c r="J202" s="40">
        <f t="shared" si="13"/>
        <v>30750</v>
      </c>
      <c r="K202" s="186"/>
    </row>
    <row r="203" spans="1:12" s="50" customFormat="1" ht="13.5" customHeight="1">
      <c r="A203" s="122"/>
      <c r="B203" s="44" t="s">
        <v>198</v>
      </c>
      <c r="C203" s="45">
        <v>60</v>
      </c>
      <c r="D203" s="36"/>
      <c r="E203" s="163" t="s">
        <v>197</v>
      </c>
      <c r="F203" s="47"/>
      <c r="G203" s="182">
        <v>288</v>
      </c>
      <c r="H203" s="41">
        <f t="shared" si="12"/>
        <v>13677.119999999999</v>
      </c>
      <c r="I203" s="41">
        <v>47490</v>
      </c>
      <c r="J203" s="40">
        <f t="shared" si="13"/>
        <v>47250</v>
      </c>
      <c r="K203" s="63"/>
      <c r="L203" s="50">
        <v>274</v>
      </c>
    </row>
    <row r="204" spans="1:11" s="50" customFormat="1" ht="13.5" customHeight="1" hidden="1">
      <c r="A204" s="122"/>
      <c r="B204" s="44" t="s">
        <v>200</v>
      </c>
      <c r="C204" s="45">
        <v>50</v>
      </c>
      <c r="D204" s="36" t="s">
        <v>87</v>
      </c>
      <c r="E204" s="163" t="s">
        <v>201</v>
      </c>
      <c r="F204" s="47"/>
      <c r="G204" s="185">
        <v>312.3</v>
      </c>
      <c r="H204" s="40">
        <f t="shared" si="12"/>
        <v>14050.377</v>
      </c>
      <c r="I204" s="41">
        <v>44990</v>
      </c>
      <c r="J204" s="40"/>
      <c r="K204" s="63"/>
    </row>
    <row r="205" spans="1:12" s="50" customFormat="1" ht="13.5" customHeight="1">
      <c r="A205" s="122"/>
      <c r="B205" s="44" t="s">
        <v>200</v>
      </c>
      <c r="C205" s="45">
        <v>75</v>
      </c>
      <c r="D205" s="36" t="s">
        <v>87</v>
      </c>
      <c r="E205" s="163" t="s">
        <v>197</v>
      </c>
      <c r="F205" s="47"/>
      <c r="G205" s="47">
        <v>360.3</v>
      </c>
      <c r="H205" s="40">
        <f t="shared" si="12"/>
        <v>17024.175000000003</v>
      </c>
      <c r="I205" s="41">
        <v>47250</v>
      </c>
      <c r="J205" s="40"/>
      <c r="K205" s="63"/>
      <c r="L205" s="50">
        <v>274</v>
      </c>
    </row>
    <row r="206" spans="1:12" s="50" customFormat="1" ht="13.5" customHeight="1">
      <c r="A206" s="122"/>
      <c r="B206" s="44" t="s">
        <v>202</v>
      </c>
      <c r="C206" s="45">
        <v>90</v>
      </c>
      <c r="D206" s="36" t="s">
        <v>87</v>
      </c>
      <c r="E206" s="163" t="s">
        <v>197</v>
      </c>
      <c r="F206" s="47"/>
      <c r="G206" s="182">
        <v>430</v>
      </c>
      <c r="H206" s="40">
        <f t="shared" si="12"/>
        <v>20205.699999999997</v>
      </c>
      <c r="I206" s="41">
        <v>46990</v>
      </c>
      <c r="J206" s="40"/>
      <c r="K206" s="63"/>
      <c r="L206" s="50">
        <v>274</v>
      </c>
    </row>
    <row r="207" spans="1:11" s="50" customFormat="1" ht="13.5" customHeight="1" hidden="1">
      <c r="A207" s="122"/>
      <c r="B207" s="44" t="s">
        <v>202</v>
      </c>
      <c r="C207" s="45">
        <v>60</v>
      </c>
      <c r="D207" s="36" t="s">
        <v>87</v>
      </c>
      <c r="E207" s="163" t="s">
        <v>203</v>
      </c>
      <c r="F207" s="47"/>
      <c r="G207" s="182">
        <v>470</v>
      </c>
      <c r="H207" s="40">
        <f t="shared" si="12"/>
        <v>21850.3</v>
      </c>
      <c r="I207" s="41">
        <v>46490</v>
      </c>
      <c r="J207" s="40">
        <f>I207-260</f>
        <v>46230</v>
      </c>
      <c r="K207" s="131"/>
    </row>
    <row r="208" spans="1:11" s="50" customFormat="1" ht="13.5" customHeight="1" hidden="1">
      <c r="A208" s="122"/>
      <c r="B208" s="44" t="s">
        <v>202</v>
      </c>
      <c r="C208" s="45">
        <v>60</v>
      </c>
      <c r="D208" s="36" t="s">
        <v>87</v>
      </c>
      <c r="E208" s="163" t="s">
        <v>204</v>
      </c>
      <c r="F208" s="47"/>
      <c r="G208" s="182">
        <v>504</v>
      </c>
      <c r="H208" s="40">
        <f t="shared" si="12"/>
        <v>23430.96</v>
      </c>
      <c r="I208" s="41">
        <v>46490</v>
      </c>
      <c r="J208" s="40">
        <f>I208-260</f>
        <v>46230</v>
      </c>
      <c r="K208" s="63"/>
    </row>
    <row r="209" spans="1:12" s="50" customFormat="1" ht="13.5" customHeight="1">
      <c r="A209" s="122"/>
      <c r="B209" s="44" t="s">
        <v>205</v>
      </c>
      <c r="C209" s="45">
        <v>120</v>
      </c>
      <c r="D209" s="36" t="s">
        <v>87</v>
      </c>
      <c r="E209" s="163" t="s">
        <v>197</v>
      </c>
      <c r="F209" s="47"/>
      <c r="G209" s="182">
        <v>577</v>
      </c>
      <c r="H209" s="40">
        <f t="shared" si="12"/>
        <v>27113.23</v>
      </c>
      <c r="I209" s="41">
        <v>46990</v>
      </c>
      <c r="J209" s="40"/>
      <c r="K209" s="42"/>
      <c r="L209" s="50">
        <v>274</v>
      </c>
    </row>
    <row r="210" spans="1:11" s="50" customFormat="1" ht="13.5" customHeight="1" hidden="1">
      <c r="A210" s="122"/>
      <c r="B210" s="44" t="s">
        <v>205</v>
      </c>
      <c r="C210" s="45">
        <v>80</v>
      </c>
      <c r="D210" s="36" t="s">
        <v>87</v>
      </c>
      <c r="E210" s="163" t="s">
        <v>206</v>
      </c>
      <c r="F210" s="47"/>
      <c r="G210" s="182">
        <v>615</v>
      </c>
      <c r="H210" s="40">
        <f t="shared" si="12"/>
        <v>28443.75</v>
      </c>
      <c r="I210" s="41">
        <v>46250</v>
      </c>
      <c r="J210" s="40">
        <f>I210-260</f>
        <v>45990</v>
      </c>
      <c r="K210" s="63"/>
    </row>
    <row r="211" spans="1:11" s="50" customFormat="1" ht="13.5" customHeight="1" hidden="1">
      <c r="A211" s="122"/>
      <c r="B211" s="44" t="s">
        <v>205</v>
      </c>
      <c r="C211" s="45">
        <v>80</v>
      </c>
      <c r="D211" s="36" t="s">
        <v>87</v>
      </c>
      <c r="E211" s="163" t="s">
        <v>207</v>
      </c>
      <c r="F211" s="47"/>
      <c r="G211" s="182">
        <v>634</v>
      </c>
      <c r="H211" s="40">
        <f t="shared" si="12"/>
        <v>29322.5</v>
      </c>
      <c r="I211" s="41">
        <v>46250</v>
      </c>
      <c r="J211" s="40">
        <f>I211-260</f>
        <v>45990</v>
      </c>
      <c r="K211" s="63"/>
    </row>
    <row r="212" spans="1:11" s="50" customFormat="1" ht="13.5" customHeight="1" hidden="1">
      <c r="A212" s="122"/>
      <c r="B212" s="44" t="s">
        <v>205</v>
      </c>
      <c r="C212" s="45">
        <v>80</v>
      </c>
      <c r="D212" s="36" t="s">
        <v>87</v>
      </c>
      <c r="E212" s="163" t="s">
        <v>208</v>
      </c>
      <c r="F212" s="47"/>
      <c r="G212" s="182">
        <v>692</v>
      </c>
      <c r="H212" s="40">
        <f t="shared" si="12"/>
        <v>32005</v>
      </c>
      <c r="I212" s="41">
        <v>46250</v>
      </c>
      <c r="J212" s="40">
        <f>I212-260</f>
        <v>45990</v>
      </c>
      <c r="K212" s="131"/>
    </row>
    <row r="213" spans="1:12" s="187" customFormat="1" ht="13.5" customHeight="1">
      <c r="A213" s="122"/>
      <c r="B213" s="44" t="s">
        <v>209</v>
      </c>
      <c r="C213" s="45">
        <v>150</v>
      </c>
      <c r="D213" s="36" t="s">
        <v>87</v>
      </c>
      <c r="E213" s="163" t="s">
        <v>197</v>
      </c>
      <c r="F213" s="47"/>
      <c r="G213" s="182">
        <v>721</v>
      </c>
      <c r="H213" s="40">
        <f t="shared" si="12"/>
        <v>33879.79</v>
      </c>
      <c r="I213" s="41">
        <v>46990</v>
      </c>
      <c r="J213" s="40"/>
      <c r="K213" s="63"/>
      <c r="L213" s="187">
        <v>274</v>
      </c>
    </row>
    <row r="214" spans="1:11" s="187" customFormat="1" ht="13.5" customHeight="1" hidden="1">
      <c r="A214" s="122"/>
      <c r="B214" s="44" t="s">
        <v>209</v>
      </c>
      <c r="C214" s="45">
        <v>130</v>
      </c>
      <c r="D214" s="36" t="s">
        <v>87</v>
      </c>
      <c r="E214" s="163" t="s">
        <v>210</v>
      </c>
      <c r="F214" s="47"/>
      <c r="G214" s="182">
        <v>942</v>
      </c>
      <c r="H214" s="40">
        <f t="shared" si="12"/>
        <v>43567.5</v>
      </c>
      <c r="I214" s="41">
        <v>46250</v>
      </c>
      <c r="J214" s="40">
        <f>I214-240</f>
        <v>46010</v>
      </c>
      <c r="K214" s="63"/>
    </row>
    <row r="215" spans="1:11" s="187" customFormat="1" ht="13.5" customHeight="1" hidden="1">
      <c r="A215" s="122"/>
      <c r="B215" s="44" t="s">
        <v>209</v>
      </c>
      <c r="C215" s="45">
        <v>100</v>
      </c>
      <c r="D215" s="36" t="s">
        <v>87</v>
      </c>
      <c r="E215" s="163" t="s">
        <v>208</v>
      </c>
      <c r="F215" s="47"/>
      <c r="G215" s="182">
        <v>865</v>
      </c>
      <c r="H215" s="40">
        <f t="shared" si="12"/>
        <v>40006.25</v>
      </c>
      <c r="I215" s="41">
        <v>46250</v>
      </c>
      <c r="J215" s="40">
        <f>I215-240</f>
        <v>46010</v>
      </c>
      <c r="K215" s="131"/>
    </row>
    <row r="216" spans="1:252" s="187" customFormat="1" ht="13.5" customHeight="1">
      <c r="A216" s="122"/>
      <c r="B216" s="44" t="s">
        <v>211</v>
      </c>
      <c r="C216" s="45">
        <v>180</v>
      </c>
      <c r="D216" s="36" t="s">
        <v>87</v>
      </c>
      <c r="E216" s="163" t="s">
        <v>197</v>
      </c>
      <c r="F216" s="47"/>
      <c r="G216" s="182">
        <v>865</v>
      </c>
      <c r="H216" s="40">
        <f t="shared" si="12"/>
        <v>40646.35</v>
      </c>
      <c r="I216" s="41">
        <v>46990</v>
      </c>
      <c r="J216" s="40"/>
      <c r="K216" s="42"/>
      <c r="L216" s="187">
        <v>274</v>
      </c>
      <c r="GM216" s="188"/>
      <c r="GN216" s="188"/>
      <c r="GO216" s="188"/>
      <c r="GP216" s="188"/>
      <c r="GQ216" s="188"/>
      <c r="GR216" s="188"/>
      <c r="GS216" s="188"/>
      <c r="GT216" s="188"/>
      <c r="GU216" s="188"/>
      <c r="GV216" s="188"/>
      <c r="GW216" s="188"/>
      <c r="GX216" s="188"/>
      <c r="GY216" s="188"/>
      <c r="GZ216" s="188"/>
      <c r="HA216" s="188"/>
      <c r="HB216" s="188"/>
      <c r="HC216" s="188"/>
      <c r="HD216" s="188"/>
      <c r="HE216" s="188"/>
      <c r="HF216" s="188"/>
      <c r="HG216" s="188"/>
      <c r="HH216" s="188"/>
      <c r="HI216" s="188"/>
      <c r="HJ216" s="188"/>
      <c r="HK216" s="188"/>
      <c r="HL216" s="188"/>
      <c r="HM216" s="188"/>
      <c r="HN216" s="188"/>
      <c r="HO216" s="188"/>
      <c r="HP216" s="188"/>
      <c r="HQ216" s="188"/>
      <c r="HR216" s="188"/>
      <c r="HS216" s="188"/>
      <c r="HT216" s="188"/>
      <c r="HU216" s="188"/>
      <c r="HV216" s="188"/>
      <c r="HW216" s="188"/>
      <c r="HX216" s="188"/>
      <c r="HY216" s="188"/>
      <c r="HZ216" s="188"/>
      <c r="IA216" s="188"/>
      <c r="IB216" s="188"/>
      <c r="IC216" s="188"/>
      <c r="ID216" s="188"/>
      <c r="IE216" s="188"/>
      <c r="IF216" s="188"/>
      <c r="IG216" s="188"/>
      <c r="IH216" s="188"/>
      <c r="II216" s="188"/>
      <c r="IJ216" s="188"/>
      <c r="IK216" s="188"/>
      <c r="IL216" s="188"/>
      <c r="IM216" s="188"/>
      <c r="IN216" s="188"/>
      <c r="IO216" s="188"/>
      <c r="IP216" s="188"/>
      <c r="IQ216" s="188"/>
      <c r="IR216" s="188"/>
    </row>
    <row r="217" spans="1:252" s="187" customFormat="1" ht="13.5" customHeight="1" hidden="1">
      <c r="A217" s="122"/>
      <c r="B217" s="44" t="s">
        <v>211</v>
      </c>
      <c r="C217" s="45">
        <v>160</v>
      </c>
      <c r="D217" s="36" t="s">
        <v>87</v>
      </c>
      <c r="E217" s="163" t="s">
        <v>210</v>
      </c>
      <c r="F217" s="47"/>
      <c r="G217" s="40">
        <v>1153</v>
      </c>
      <c r="H217" s="40">
        <f t="shared" si="12"/>
        <v>53326.25</v>
      </c>
      <c r="I217" s="41">
        <v>46250</v>
      </c>
      <c r="J217" s="40">
        <f>I217-240</f>
        <v>46010</v>
      </c>
      <c r="K217" s="131"/>
      <c r="GM217" s="188"/>
      <c r="GN217" s="188"/>
      <c r="GO217" s="188"/>
      <c r="GP217" s="188"/>
      <c r="GQ217" s="188"/>
      <c r="GR217" s="188"/>
      <c r="GS217" s="188"/>
      <c r="GT217" s="188"/>
      <c r="GU217" s="188"/>
      <c r="GV217" s="188"/>
      <c r="GW217" s="188"/>
      <c r="GX217" s="188"/>
      <c r="GY217" s="188"/>
      <c r="GZ217" s="188"/>
      <c r="HA217" s="188"/>
      <c r="HB217" s="188"/>
      <c r="HC217" s="188"/>
      <c r="HD217" s="188"/>
      <c r="HE217" s="188"/>
      <c r="HF217" s="188"/>
      <c r="HG217" s="188"/>
      <c r="HH217" s="188"/>
      <c r="HI217" s="188"/>
      <c r="HJ217" s="188"/>
      <c r="HK217" s="188"/>
      <c r="HL217" s="188"/>
      <c r="HM217" s="188"/>
      <c r="HN217" s="188"/>
      <c r="HO217" s="188"/>
      <c r="HP217" s="188"/>
      <c r="HQ217" s="188"/>
      <c r="HR217" s="188"/>
      <c r="HS217" s="188"/>
      <c r="HT217" s="188"/>
      <c r="HU217" s="188"/>
      <c r="HV217" s="188"/>
      <c r="HW217" s="188"/>
      <c r="HX217" s="188"/>
      <c r="HY217" s="188"/>
      <c r="HZ217" s="188"/>
      <c r="IA217" s="188"/>
      <c r="IB217" s="188"/>
      <c r="IC217" s="188"/>
      <c r="ID217" s="188"/>
      <c r="IE217" s="188"/>
      <c r="IF217" s="188"/>
      <c r="IG217" s="188"/>
      <c r="IH217" s="188"/>
      <c r="II217" s="188"/>
      <c r="IJ217" s="188"/>
      <c r="IK217" s="188"/>
      <c r="IL217" s="188"/>
      <c r="IM217" s="188"/>
      <c r="IN217" s="188"/>
      <c r="IO217" s="188"/>
      <c r="IP217" s="188"/>
      <c r="IQ217" s="188"/>
      <c r="IR217" s="188"/>
    </row>
    <row r="218" spans="1:252" s="187" customFormat="1" ht="13.5" customHeight="1">
      <c r="A218" s="120"/>
      <c r="B218" s="44" t="s">
        <v>212</v>
      </c>
      <c r="C218" s="45">
        <v>140</v>
      </c>
      <c r="D218" s="36" t="s">
        <v>87</v>
      </c>
      <c r="E218" s="163" t="s">
        <v>210</v>
      </c>
      <c r="F218" s="47"/>
      <c r="G218" s="40">
        <v>1320</v>
      </c>
      <c r="H218" s="40">
        <f t="shared" si="12"/>
        <v>62026.8</v>
      </c>
      <c r="I218" s="41">
        <v>46990</v>
      </c>
      <c r="J218" s="40"/>
      <c r="K218" s="131"/>
      <c r="L218" s="187">
        <v>274</v>
      </c>
      <c r="GM218" s="188"/>
      <c r="GN218" s="188"/>
      <c r="GO218" s="188"/>
      <c r="GP218" s="188"/>
      <c r="GQ218" s="188"/>
      <c r="GR218" s="188"/>
      <c r="GS218" s="188"/>
      <c r="GT218" s="188"/>
      <c r="GU218" s="188"/>
      <c r="GV218" s="188"/>
      <c r="GW218" s="188"/>
      <c r="GX218" s="188"/>
      <c r="GY218" s="188"/>
      <c r="GZ218" s="188"/>
      <c r="HA218" s="188"/>
      <c r="HB218" s="188"/>
      <c r="HC218" s="188"/>
      <c r="HD218" s="188"/>
      <c r="HE218" s="188"/>
      <c r="HF218" s="188"/>
      <c r="HG218" s="188"/>
      <c r="HH218" s="188"/>
      <c r="HI218" s="188"/>
      <c r="HJ218" s="188"/>
      <c r="HK218" s="188"/>
      <c r="HL218" s="188"/>
      <c r="HM218" s="188"/>
      <c r="HN218" s="188"/>
      <c r="HO218" s="188"/>
      <c r="HP218" s="188"/>
      <c r="HQ218" s="188"/>
      <c r="HR218" s="188"/>
      <c r="HS218" s="188"/>
      <c r="HT218" s="188"/>
      <c r="HU218" s="188"/>
      <c r="HV218" s="188"/>
      <c r="HW218" s="188"/>
      <c r="HX218" s="188"/>
      <c r="HY218" s="188"/>
      <c r="HZ218" s="188"/>
      <c r="IA218" s="188"/>
      <c r="IB218" s="188"/>
      <c r="IC218" s="188"/>
      <c r="ID218" s="188"/>
      <c r="IE218" s="188"/>
      <c r="IF218" s="188"/>
      <c r="IG218" s="188"/>
      <c r="IH218" s="188"/>
      <c r="II218" s="188"/>
      <c r="IJ218" s="188"/>
      <c r="IK218" s="188"/>
      <c r="IL218" s="188"/>
      <c r="IM218" s="188"/>
      <c r="IN218" s="188"/>
      <c r="IO218" s="188"/>
      <c r="IP218" s="188"/>
      <c r="IQ218" s="188"/>
      <c r="IR218" s="188"/>
    </row>
    <row r="219" spans="1:12" s="48" customFormat="1" ht="13.5" customHeight="1">
      <c r="A219" s="120"/>
      <c r="B219" s="44" t="s">
        <v>213</v>
      </c>
      <c r="C219" s="45">
        <v>160</v>
      </c>
      <c r="D219" s="36"/>
      <c r="E219" s="163" t="s">
        <v>197</v>
      </c>
      <c r="F219" s="47"/>
      <c r="G219" s="40">
        <v>1152</v>
      </c>
      <c r="H219" s="41">
        <f t="shared" si="12"/>
        <v>55284.479999999996</v>
      </c>
      <c r="I219" s="41">
        <v>47990</v>
      </c>
      <c r="J219" s="40"/>
      <c r="K219" s="63"/>
      <c r="L219" s="48">
        <v>274</v>
      </c>
    </row>
    <row r="220" spans="1:11" s="48" customFormat="1" ht="13.5" customHeight="1" hidden="1">
      <c r="A220" s="120"/>
      <c r="B220" s="44" t="s">
        <v>213</v>
      </c>
      <c r="C220" s="45">
        <v>200</v>
      </c>
      <c r="D220" s="36"/>
      <c r="E220" s="189" t="s">
        <v>210</v>
      </c>
      <c r="F220" s="47"/>
      <c r="G220" s="40">
        <v>1537</v>
      </c>
      <c r="H220" s="41">
        <f t="shared" si="12"/>
        <v>66075.63</v>
      </c>
      <c r="I220" s="41">
        <v>42990</v>
      </c>
      <c r="J220" s="40"/>
      <c r="K220" s="190"/>
    </row>
    <row r="221" spans="1:12" s="32" customFormat="1" ht="13.5" customHeight="1">
      <c r="A221" s="120"/>
      <c r="B221" s="44" t="s">
        <v>214</v>
      </c>
      <c r="C221" s="45">
        <v>200</v>
      </c>
      <c r="D221" s="36" t="s">
        <v>87</v>
      </c>
      <c r="E221" s="163" t="s">
        <v>197</v>
      </c>
      <c r="F221" s="47"/>
      <c r="G221" s="40">
        <v>1440</v>
      </c>
      <c r="H221" s="40">
        <f t="shared" si="12"/>
        <v>73425.6</v>
      </c>
      <c r="I221" s="41">
        <v>50990</v>
      </c>
      <c r="J221" s="40"/>
      <c r="K221" s="63"/>
      <c r="L221" s="32">
        <v>274</v>
      </c>
    </row>
    <row r="222" spans="1:11" s="32" customFormat="1" ht="13.5" customHeight="1" hidden="1">
      <c r="A222" s="120"/>
      <c r="B222" s="44" t="s">
        <v>214</v>
      </c>
      <c r="C222" s="45">
        <v>200</v>
      </c>
      <c r="D222" s="36" t="s">
        <v>87</v>
      </c>
      <c r="E222" s="163" t="s">
        <v>215</v>
      </c>
      <c r="F222" s="47"/>
      <c r="G222" s="40">
        <v>1595</v>
      </c>
      <c r="H222" s="40">
        <f t="shared" si="12"/>
        <v>71759.04999999999</v>
      </c>
      <c r="I222" s="41">
        <v>44990</v>
      </c>
      <c r="J222" s="40">
        <f>I222-240</f>
        <v>44750</v>
      </c>
      <c r="K222" s="63"/>
    </row>
    <row r="223" spans="1:11" s="32" customFormat="1" ht="13.5" customHeight="1" hidden="1">
      <c r="A223" s="120"/>
      <c r="B223" s="44" t="s">
        <v>214</v>
      </c>
      <c r="C223" s="45">
        <v>250</v>
      </c>
      <c r="D223" s="36" t="s">
        <v>87</v>
      </c>
      <c r="E223" s="163" t="s">
        <v>210</v>
      </c>
      <c r="F223" s="47"/>
      <c r="G223" s="40">
        <v>1922</v>
      </c>
      <c r="H223" s="40">
        <f t="shared" si="12"/>
        <v>86470.78000000001</v>
      </c>
      <c r="I223" s="41">
        <v>44990</v>
      </c>
      <c r="J223" s="40">
        <f>I223-240</f>
        <v>44750</v>
      </c>
      <c r="K223" s="63"/>
    </row>
    <row r="224" spans="1:12" s="32" customFormat="1" ht="13.5" customHeight="1">
      <c r="A224" s="120"/>
      <c r="B224" s="44" t="s">
        <v>216</v>
      </c>
      <c r="C224" s="45">
        <v>250</v>
      </c>
      <c r="D224" s="36"/>
      <c r="E224" s="163" t="s">
        <v>197</v>
      </c>
      <c r="F224" s="47"/>
      <c r="G224" s="40">
        <v>1776</v>
      </c>
      <c r="H224" s="40">
        <f t="shared" si="12"/>
        <v>92334.23999999999</v>
      </c>
      <c r="I224" s="41">
        <v>51990</v>
      </c>
      <c r="J224" s="40"/>
      <c r="K224" s="131"/>
      <c r="L224" s="32">
        <v>274</v>
      </c>
    </row>
    <row r="225" spans="1:11" s="32" customFormat="1" ht="13.5" customHeight="1" hidden="1">
      <c r="A225" s="120"/>
      <c r="B225" s="44" t="s">
        <v>217</v>
      </c>
      <c r="C225" s="45">
        <v>300</v>
      </c>
      <c r="D225" s="36" t="s">
        <v>87</v>
      </c>
      <c r="E225" s="163" t="s">
        <v>197</v>
      </c>
      <c r="F225" s="47"/>
      <c r="G225" s="40">
        <v>2162</v>
      </c>
      <c r="H225" s="40">
        <f t="shared" si="12"/>
        <v>110240.38</v>
      </c>
      <c r="I225" s="41">
        <v>50990</v>
      </c>
      <c r="J225" s="40"/>
      <c r="K225" s="63"/>
    </row>
    <row r="226" spans="1:12" s="32" customFormat="1" ht="13.5" customHeight="1">
      <c r="A226" s="120"/>
      <c r="B226" s="44" t="s">
        <v>217</v>
      </c>
      <c r="C226" s="45">
        <v>300</v>
      </c>
      <c r="D226" s="36" t="s">
        <v>87</v>
      </c>
      <c r="E226" s="163" t="s">
        <v>210</v>
      </c>
      <c r="F226" s="47"/>
      <c r="G226" s="40">
        <v>2900</v>
      </c>
      <c r="H226" s="40">
        <f t="shared" si="12"/>
        <v>147871</v>
      </c>
      <c r="I226" s="41">
        <v>50990</v>
      </c>
      <c r="J226" s="40"/>
      <c r="K226" s="63"/>
      <c r="L226" s="32">
        <v>274</v>
      </c>
    </row>
    <row r="227" spans="1:12" s="32" customFormat="1" ht="13.5" customHeight="1">
      <c r="A227" s="120"/>
      <c r="B227" s="44" t="s">
        <v>218</v>
      </c>
      <c r="C227" s="45">
        <v>400</v>
      </c>
      <c r="D227" s="36" t="s">
        <v>87</v>
      </c>
      <c r="E227" s="163"/>
      <c r="F227" s="47"/>
      <c r="G227" s="40"/>
      <c r="H227" s="40"/>
      <c r="I227" s="41">
        <v>51490</v>
      </c>
      <c r="J227" s="40"/>
      <c r="K227" s="63"/>
      <c r="L227" s="32">
        <v>274</v>
      </c>
    </row>
    <row r="228" spans="1:12" s="48" customFormat="1" ht="21" customHeight="1">
      <c r="A228" s="120"/>
      <c r="B228" s="28" t="s">
        <v>219</v>
      </c>
      <c r="C228" s="30"/>
      <c r="D228" s="30"/>
      <c r="E228" s="30"/>
      <c r="F228" s="30"/>
      <c r="G228" s="30"/>
      <c r="H228" s="30"/>
      <c r="I228" s="30"/>
      <c r="J228" s="30"/>
      <c r="K228" s="66"/>
      <c r="L228" s="32">
        <v>275</v>
      </c>
    </row>
    <row r="229" spans="1:252" s="32" customFormat="1" ht="13.5" customHeight="1" hidden="1">
      <c r="A229" s="120"/>
      <c r="B229" s="76" t="s">
        <v>220</v>
      </c>
      <c r="C229" s="69"/>
      <c r="D229" s="37" t="s">
        <v>87</v>
      </c>
      <c r="E229" s="170" t="s">
        <v>221</v>
      </c>
      <c r="F229" s="38"/>
      <c r="G229" s="166">
        <v>63.8</v>
      </c>
      <c r="H229" s="41">
        <f aca="true" t="shared" si="14" ref="H229:H236">I229/(1000/G229)</f>
        <v>2185.15</v>
      </c>
      <c r="I229" s="41">
        <v>34250</v>
      </c>
      <c r="J229" s="41"/>
      <c r="K229" s="63" t="s">
        <v>222</v>
      </c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</row>
    <row r="230" spans="1:252" s="194" customFormat="1" ht="13.5" customHeight="1" hidden="1">
      <c r="A230" s="120"/>
      <c r="B230" s="191" t="s">
        <v>223</v>
      </c>
      <c r="C230" s="72"/>
      <c r="D230" s="192" t="s">
        <v>87</v>
      </c>
      <c r="E230" s="22" t="s">
        <v>224</v>
      </c>
      <c r="F230" s="58"/>
      <c r="G230" s="193">
        <v>62</v>
      </c>
      <c r="H230" s="59">
        <f t="shared" si="14"/>
        <v>2417.38</v>
      </c>
      <c r="I230" s="59">
        <v>38990</v>
      </c>
      <c r="J230" s="59"/>
      <c r="K230" s="89" t="s">
        <v>222</v>
      </c>
      <c r="GM230" s="195"/>
      <c r="GN230" s="195"/>
      <c r="GO230" s="195"/>
      <c r="GP230" s="195"/>
      <c r="GQ230" s="195"/>
      <c r="GR230" s="195"/>
      <c r="GS230" s="195"/>
      <c r="GT230" s="195"/>
      <c r="GU230" s="195"/>
      <c r="GV230" s="195"/>
      <c r="GW230" s="195"/>
      <c r="GX230" s="195"/>
      <c r="GY230" s="195"/>
      <c r="GZ230" s="195"/>
      <c r="HA230" s="195"/>
      <c r="HB230" s="195"/>
      <c r="HC230" s="195"/>
      <c r="HD230" s="195"/>
      <c r="HE230" s="195"/>
      <c r="HF230" s="195"/>
      <c r="HG230" s="195"/>
      <c r="HH230" s="195"/>
      <c r="HI230" s="195"/>
      <c r="HJ230" s="195"/>
      <c r="HK230" s="195"/>
      <c r="HL230" s="195"/>
      <c r="HM230" s="195"/>
      <c r="HN230" s="195"/>
      <c r="HO230" s="195"/>
      <c r="HP230" s="195"/>
      <c r="HQ230" s="195"/>
      <c r="HR230" s="195"/>
      <c r="HS230" s="195"/>
      <c r="HT230" s="195"/>
      <c r="HU230" s="195"/>
      <c r="HV230" s="195"/>
      <c r="HW230" s="195"/>
      <c r="HX230" s="195"/>
      <c r="HY230" s="195"/>
      <c r="HZ230" s="195"/>
      <c r="IA230" s="195"/>
      <c r="IB230" s="195"/>
      <c r="IC230" s="195"/>
      <c r="ID230" s="195"/>
      <c r="IE230" s="195"/>
      <c r="IF230" s="195"/>
      <c r="IG230" s="195"/>
      <c r="IH230" s="195"/>
      <c r="II230" s="195"/>
      <c r="IJ230" s="195"/>
      <c r="IK230" s="195"/>
      <c r="IL230" s="195"/>
      <c r="IM230" s="195"/>
      <c r="IN230" s="195"/>
      <c r="IO230" s="195"/>
      <c r="IP230" s="195"/>
      <c r="IQ230" s="195"/>
      <c r="IR230" s="195"/>
    </row>
    <row r="231" spans="1:252" s="32" customFormat="1" ht="13.5" customHeight="1">
      <c r="A231" s="120"/>
      <c r="B231" s="76" t="s">
        <v>223</v>
      </c>
      <c r="C231" s="69"/>
      <c r="D231" s="37" t="s">
        <v>87</v>
      </c>
      <c r="E231" s="170" t="s">
        <v>176</v>
      </c>
      <c r="F231" s="38"/>
      <c r="G231" s="39">
        <v>80</v>
      </c>
      <c r="H231" s="41">
        <f t="shared" si="14"/>
        <v>3959.2</v>
      </c>
      <c r="I231" s="196">
        <v>49490</v>
      </c>
      <c r="J231" s="41"/>
      <c r="K231" s="63"/>
      <c r="L231" s="32">
        <v>275</v>
      </c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</row>
    <row r="232" spans="1:252" s="32" customFormat="1" ht="13.5" customHeight="1" hidden="1">
      <c r="A232" s="120"/>
      <c r="B232" s="76" t="s">
        <v>223</v>
      </c>
      <c r="C232" s="69"/>
      <c r="D232" s="37" t="s">
        <v>87</v>
      </c>
      <c r="E232" s="170" t="s">
        <v>197</v>
      </c>
      <c r="F232" s="38"/>
      <c r="G232" s="39">
        <v>230</v>
      </c>
      <c r="H232" s="41">
        <f t="shared" si="14"/>
        <v>7417.5</v>
      </c>
      <c r="I232" s="196">
        <v>32250</v>
      </c>
      <c r="J232" s="40"/>
      <c r="K232" s="6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</row>
    <row r="233" spans="1:252" s="32" customFormat="1" ht="13.5" customHeight="1" hidden="1">
      <c r="A233" s="120"/>
      <c r="B233" s="76" t="s">
        <v>225</v>
      </c>
      <c r="C233" s="69">
        <v>40</v>
      </c>
      <c r="D233" s="37" t="s">
        <v>87</v>
      </c>
      <c r="E233" s="170" t="s">
        <v>176</v>
      </c>
      <c r="F233" s="38"/>
      <c r="G233" s="39">
        <v>105</v>
      </c>
      <c r="H233" s="41">
        <f t="shared" si="14"/>
        <v>3386.25</v>
      </c>
      <c r="I233" s="196">
        <v>32250</v>
      </c>
      <c r="J233" s="40">
        <f>I233-240</f>
        <v>32010</v>
      </c>
      <c r="K233" s="197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</row>
    <row r="234" spans="1:252" s="32" customFormat="1" ht="13.5" customHeight="1">
      <c r="A234" s="120"/>
      <c r="B234" s="76" t="s">
        <v>225</v>
      </c>
      <c r="C234" s="69">
        <v>60</v>
      </c>
      <c r="D234" s="37" t="s">
        <v>87</v>
      </c>
      <c r="E234" s="170" t="s">
        <v>197</v>
      </c>
      <c r="F234" s="38"/>
      <c r="G234" s="41">
        <v>302</v>
      </c>
      <c r="H234" s="41">
        <f t="shared" si="14"/>
        <v>14945.98</v>
      </c>
      <c r="I234" s="196">
        <v>49490</v>
      </c>
      <c r="J234" s="40"/>
      <c r="K234" s="63"/>
      <c r="L234" s="32">
        <v>275</v>
      </c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</row>
    <row r="235" spans="1:252" s="32" customFormat="1" ht="13.5" customHeight="1" hidden="1">
      <c r="A235" s="120"/>
      <c r="B235" s="44" t="s">
        <v>226</v>
      </c>
      <c r="C235" s="45">
        <v>75</v>
      </c>
      <c r="D235" s="36" t="s">
        <v>87</v>
      </c>
      <c r="E235" s="163" t="s">
        <v>197</v>
      </c>
      <c r="F235" s="47"/>
      <c r="G235" s="182">
        <v>376</v>
      </c>
      <c r="H235" s="40">
        <f t="shared" si="14"/>
        <v>18142</v>
      </c>
      <c r="I235" s="41">
        <v>48250</v>
      </c>
      <c r="J235" s="41"/>
      <c r="K235" s="6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</row>
    <row r="236" spans="1:252" s="32" customFormat="1" ht="13.5" customHeight="1" hidden="1">
      <c r="A236" s="120"/>
      <c r="B236" s="44" t="s">
        <v>227</v>
      </c>
      <c r="C236" s="45">
        <v>60</v>
      </c>
      <c r="D236" s="36" t="s">
        <v>87</v>
      </c>
      <c r="E236" s="163" t="s">
        <v>197</v>
      </c>
      <c r="F236" s="47"/>
      <c r="G236" s="185">
        <v>436.5</v>
      </c>
      <c r="H236" s="40">
        <f t="shared" si="14"/>
        <v>12654.135</v>
      </c>
      <c r="I236" s="41">
        <v>28990</v>
      </c>
      <c r="J236" s="41"/>
      <c r="K236" s="197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</row>
    <row r="237" spans="1:12" s="48" customFormat="1" ht="21" customHeight="1">
      <c r="A237" s="120"/>
      <c r="B237" s="28" t="s">
        <v>228</v>
      </c>
      <c r="C237" s="30"/>
      <c r="D237" s="30"/>
      <c r="E237" s="30"/>
      <c r="F237" s="30"/>
      <c r="G237" s="30"/>
      <c r="H237" s="30"/>
      <c r="I237" s="30"/>
      <c r="J237" s="30"/>
      <c r="K237" s="66"/>
      <c r="L237" s="48">
        <v>276</v>
      </c>
    </row>
    <row r="238" spans="1:252" s="32" customFormat="1" ht="13.5" customHeight="1" hidden="1">
      <c r="A238" s="120"/>
      <c r="B238" s="44" t="s">
        <v>229</v>
      </c>
      <c r="C238" s="45"/>
      <c r="D238" s="36" t="s">
        <v>85</v>
      </c>
      <c r="E238" s="163"/>
      <c r="F238" s="47"/>
      <c r="G238" s="47" t="s">
        <v>230</v>
      </c>
      <c r="H238" s="40"/>
      <c r="I238" s="40">
        <v>41990</v>
      </c>
      <c r="J238" s="41"/>
      <c r="K238" s="64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</row>
    <row r="239" spans="1:252" s="32" customFormat="1" ht="13.5" customHeight="1" hidden="1">
      <c r="A239" s="120"/>
      <c r="B239" s="44" t="s">
        <v>229</v>
      </c>
      <c r="C239" s="45"/>
      <c r="D239" s="36" t="s">
        <v>85</v>
      </c>
      <c r="E239" s="163" t="s">
        <v>178</v>
      </c>
      <c r="F239" s="47"/>
      <c r="G239" s="47">
        <v>32</v>
      </c>
      <c r="H239" s="40">
        <f aca="true" t="shared" si="15" ref="H239:H244">I239/(1000/G239)</f>
        <v>1407.68</v>
      </c>
      <c r="I239" s="40">
        <v>43990</v>
      </c>
      <c r="J239" s="41"/>
      <c r="K239" s="64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</row>
    <row r="240" spans="1:252" s="32" customFormat="1" ht="13.5" customHeight="1" hidden="1">
      <c r="A240" s="120"/>
      <c r="B240" s="44" t="s">
        <v>229</v>
      </c>
      <c r="C240" s="45"/>
      <c r="D240" s="36" t="s">
        <v>85</v>
      </c>
      <c r="E240" s="163" t="s">
        <v>231</v>
      </c>
      <c r="F240" s="47"/>
      <c r="G240" s="47">
        <v>34</v>
      </c>
      <c r="H240" s="40">
        <f t="shared" si="15"/>
        <v>1495.66</v>
      </c>
      <c r="I240" s="40">
        <v>43990</v>
      </c>
      <c r="J240" s="41"/>
      <c r="K240" s="64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</row>
    <row r="241" spans="1:252" s="32" customFormat="1" ht="13.5" customHeight="1" hidden="1">
      <c r="A241" s="120"/>
      <c r="B241" s="44" t="s">
        <v>229</v>
      </c>
      <c r="C241" s="45"/>
      <c r="D241" s="36" t="s">
        <v>85</v>
      </c>
      <c r="E241" s="163" t="s">
        <v>232</v>
      </c>
      <c r="F241" s="47"/>
      <c r="G241" s="47">
        <v>35</v>
      </c>
      <c r="H241" s="40">
        <f t="shared" si="15"/>
        <v>1539.6499999999999</v>
      </c>
      <c r="I241" s="40">
        <v>43990</v>
      </c>
      <c r="J241" s="41"/>
      <c r="K241" s="64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</row>
    <row r="242" spans="1:252" s="32" customFormat="1" ht="13.5" customHeight="1" hidden="1">
      <c r="A242" s="120"/>
      <c r="B242" s="44" t="s">
        <v>229</v>
      </c>
      <c r="C242" s="45"/>
      <c r="D242" s="36" t="s">
        <v>85</v>
      </c>
      <c r="E242" s="163" t="s">
        <v>233</v>
      </c>
      <c r="F242" s="47"/>
      <c r="G242" s="47">
        <v>39</v>
      </c>
      <c r="H242" s="40">
        <f t="shared" si="15"/>
        <v>1715.61</v>
      </c>
      <c r="I242" s="40">
        <v>43990</v>
      </c>
      <c r="J242" s="41"/>
      <c r="K242" s="64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</row>
    <row r="243" spans="1:252" s="32" customFormat="1" ht="13.5" customHeight="1" hidden="1">
      <c r="A243" s="120"/>
      <c r="B243" s="44" t="s">
        <v>229</v>
      </c>
      <c r="C243" s="45"/>
      <c r="D243" s="36" t="s">
        <v>85</v>
      </c>
      <c r="E243" s="163" t="s">
        <v>224</v>
      </c>
      <c r="F243" s="47"/>
      <c r="G243" s="47">
        <v>46</v>
      </c>
      <c r="H243" s="40">
        <f t="shared" si="15"/>
        <v>2023.54</v>
      </c>
      <c r="I243" s="40">
        <v>43990</v>
      </c>
      <c r="J243" s="41"/>
      <c r="K243" s="64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</row>
    <row r="244" spans="1:252" s="32" customFormat="1" ht="13.5" customHeight="1" hidden="1">
      <c r="A244" s="120"/>
      <c r="B244" s="44" t="s">
        <v>229</v>
      </c>
      <c r="C244" s="45"/>
      <c r="D244" s="36" t="s">
        <v>85</v>
      </c>
      <c r="E244" s="163" t="s">
        <v>234</v>
      </c>
      <c r="F244" s="47"/>
      <c r="G244" s="47">
        <v>47.7</v>
      </c>
      <c r="H244" s="40">
        <f t="shared" si="15"/>
        <v>2098.3230000000003</v>
      </c>
      <c r="I244" s="40">
        <v>43990</v>
      </c>
      <c r="J244" s="41"/>
      <c r="K244" s="42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</row>
    <row r="245" spans="1:252" s="32" customFormat="1" ht="13.5" customHeight="1">
      <c r="A245" s="120"/>
      <c r="B245" s="44" t="s">
        <v>229</v>
      </c>
      <c r="C245" s="45"/>
      <c r="D245" s="36" t="s">
        <v>85</v>
      </c>
      <c r="E245" s="163"/>
      <c r="F245" s="47"/>
      <c r="G245" s="47" t="s">
        <v>230</v>
      </c>
      <c r="H245" s="40"/>
      <c r="I245" s="40">
        <v>47990</v>
      </c>
      <c r="J245" s="40"/>
      <c r="K245" s="64"/>
      <c r="L245" s="32">
        <v>276</v>
      </c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</row>
    <row r="246" spans="1:252" s="32" customFormat="1" ht="13.5" customHeight="1" hidden="1">
      <c r="A246" s="120"/>
      <c r="B246" s="44" t="s">
        <v>229</v>
      </c>
      <c r="C246" s="45"/>
      <c r="D246" s="36" t="s">
        <v>85</v>
      </c>
      <c r="E246" s="163" t="s">
        <v>235</v>
      </c>
      <c r="F246" s="47"/>
      <c r="G246" s="47">
        <v>50</v>
      </c>
      <c r="H246" s="40">
        <f>I246/(1000/G246)</f>
        <v>2199.5</v>
      </c>
      <c r="I246" s="40">
        <v>43990</v>
      </c>
      <c r="J246" s="41"/>
      <c r="K246" s="64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</row>
    <row r="247" spans="1:252" s="32" customFormat="1" ht="13.5" customHeight="1" hidden="1">
      <c r="A247" s="120"/>
      <c r="B247" s="44" t="s">
        <v>229</v>
      </c>
      <c r="C247" s="45"/>
      <c r="D247" s="36" t="s">
        <v>85</v>
      </c>
      <c r="E247" s="163" t="s">
        <v>236</v>
      </c>
      <c r="F247" s="47"/>
      <c r="G247" s="47">
        <v>66</v>
      </c>
      <c r="H247" s="40">
        <f>I247/(1000/G247)</f>
        <v>2903.3399999999997</v>
      </c>
      <c r="I247" s="40">
        <v>43990</v>
      </c>
      <c r="J247" s="41"/>
      <c r="K247" s="64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</row>
    <row r="248" spans="1:252" s="32" customFormat="1" ht="13.5" customHeight="1" hidden="1">
      <c r="A248" s="120"/>
      <c r="B248" s="44" t="s">
        <v>229</v>
      </c>
      <c r="C248" s="45"/>
      <c r="D248" s="36" t="s">
        <v>85</v>
      </c>
      <c r="E248" s="163" t="s">
        <v>237</v>
      </c>
      <c r="F248" s="47"/>
      <c r="G248" s="47">
        <v>61.23</v>
      </c>
      <c r="H248" s="40">
        <f>I248/(1000/G248)</f>
        <v>2693.5077</v>
      </c>
      <c r="I248" s="40">
        <v>43990</v>
      </c>
      <c r="J248" s="41"/>
      <c r="K248" s="64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</row>
    <row r="249" spans="1:252" s="32" customFormat="1" ht="13.5" customHeight="1" hidden="1">
      <c r="A249" s="120"/>
      <c r="B249" s="44" t="s">
        <v>238</v>
      </c>
      <c r="C249" s="45"/>
      <c r="D249" s="36" t="s">
        <v>85</v>
      </c>
      <c r="E249" s="163"/>
      <c r="F249" s="47"/>
      <c r="G249" s="47" t="s">
        <v>239</v>
      </c>
      <c r="H249" s="40"/>
      <c r="I249" s="198">
        <v>47490</v>
      </c>
      <c r="J249" s="41"/>
      <c r="K249" s="64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</row>
    <row r="250" spans="1:252" s="32" customFormat="1" ht="13.5" customHeight="1" hidden="1">
      <c r="A250" s="120"/>
      <c r="B250" s="44" t="s">
        <v>240</v>
      </c>
      <c r="C250" s="45"/>
      <c r="D250" s="36" t="s">
        <v>85</v>
      </c>
      <c r="E250" s="163" t="s">
        <v>241</v>
      </c>
      <c r="F250" s="47"/>
      <c r="G250" s="47">
        <v>46.48</v>
      </c>
      <c r="H250" s="40">
        <f>I250/(1000/G250)</f>
        <v>2044.6552</v>
      </c>
      <c r="I250" s="40">
        <v>43990</v>
      </c>
      <c r="J250" s="40"/>
      <c r="K250" s="64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</row>
    <row r="251" spans="1:252" s="32" customFormat="1" ht="13.5" customHeight="1" hidden="1">
      <c r="A251" s="120"/>
      <c r="B251" s="44" t="s">
        <v>240</v>
      </c>
      <c r="C251" s="45"/>
      <c r="D251" s="36" t="s">
        <v>85</v>
      </c>
      <c r="E251" s="163" t="s">
        <v>178</v>
      </c>
      <c r="F251" s="47"/>
      <c r="G251" s="47">
        <v>38</v>
      </c>
      <c r="H251" s="40">
        <f>I251/(1000/G251)</f>
        <v>1671.6200000000001</v>
      </c>
      <c r="I251" s="40">
        <v>43990</v>
      </c>
      <c r="J251" s="41"/>
      <c r="K251" s="64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</row>
    <row r="252" spans="1:252" s="32" customFormat="1" ht="13.5" customHeight="1" hidden="1">
      <c r="A252" s="120"/>
      <c r="B252" s="44" t="s">
        <v>240</v>
      </c>
      <c r="C252" s="45"/>
      <c r="D252" s="36" t="s">
        <v>85</v>
      </c>
      <c r="E252" s="163" t="s">
        <v>232</v>
      </c>
      <c r="F252" s="47"/>
      <c r="G252" s="47">
        <v>41.36</v>
      </c>
      <c r="H252" s="40">
        <f>I252/(1000/G252)</f>
        <v>1819.4264</v>
      </c>
      <c r="I252" s="40">
        <v>43990</v>
      </c>
      <c r="J252" s="40"/>
      <c r="K252" s="64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</row>
    <row r="253" spans="1:252" s="32" customFormat="1" ht="13.5" customHeight="1" hidden="1">
      <c r="A253" s="120"/>
      <c r="B253" s="44" t="s">
        <v>240</v>
      </c>
      <c r="C253" s="45"/>
      <c r="D253" s="36" t="s">
        <v>85</v>
      </c>
      <c r="E253" s="163" t="s">
        <v>242</v>
      </c>
      <c r="F253" s="47"/>
      <c r="G253" s="47">
        <v>45.12</v>
      </c>
      <c r="H253" s="40">
        <f>I253/(1000/G253)</f>
        <v>1984.8288</v>
      </c>
      <c r="I253" s="40">
        <v>43990</v>
      </c>
      <c r="J253" s="40"/>
      <c r="K253" s="64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</row>
    <row r="254" spans="1:252" s="32" customFormat="1" ht="13.5" customHeight="1" hidden="1">
      <c r="A254" s="120"/>
      <c r="B254" s="44" t="s">
        <v>240</v>
      </c>
      <c r="C254" s="45"/>
      <c r="D254" s="36" t="s">
        <v>85</v>
      </c>
      <c r="E254" s="163" t="s">
        <v>224</v>
      </c>
      <c r="F254" s="47"/>
      <c r="G254" s="47">
        <v>47</v>
      </c>
      <c r="H254" s="40">
        <f>I254/(1000/G254)</f>
        <v>2067.53</v>
      </c>
      <c r="I254" s="40">
        <v>43990</v>
      </c>
      <c r="J254" s="40"/>
      <c r="K254" s="64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</row>
    <row r="255" spans="1:252" s="32" customFormat="1" ht="13.5" customHeight="1" hidden="1">
      <c r="A255" s="120"/>
      <c r="B255" s="44" t="s">
        <v>240</v>
      </c>
      <c r="C255" s="45"/>
      <c r="D255" s="36" t="s">
        <v>85</v>
      </c>
      <c r="E255" s="163"/>
      <c r="F255" s="47"/>
      <c r="G255" s="47" t="s">
        <v>243</v>
      </c>
      <c r="H255" s="40"/>
      <c r="I255" s="40">
        <v>43990</v>
      </c>
      <c r="J255" s="40"/>
      <c r="K255" s="64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</row>
    <row r="256" spans="1:252" s="32" customFormat="1" ht="13.5" customHeight="1" hidden="1">
      <c r="A256" s="120"/>
      <c r="B256" s="44" t="s">
        <v>240</v>
      </c>
      <c r="C256" s="45"/>
      <c r="D256" s="36" t="s">
        <v>85</v>
      </c>
      <c r="E256" s="163" t="s">
        <v>244</v>
      </c>
      <c r="F256" s="47"/>
      <c r="G256" s="47">
        <v>62.6</v>
      </c>
      <c r="H256" s="40">
        <f aca="true" t="shared" si="16" ref="H256:H264">I256/(1000/G256)</f>
        <v>2753.7740000000003</v>
      </c>
      <c r="I256" s="40">
        <v>43990</v>
      </c>
      <c r="J256" s="40"/>
      <c r="K256" s="64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</row>
    <row r="257" spans="1:252" s="32" customFormat="1" ht="13.5" customHeight="1" hidden="1">
      <c r="A257" s="120"/>
      <c r="B257" s="44" t="s">
        <v>240</v>
      </c>
      <c r="C257" s="45"/>
      <c r="D257" s="36" t="s">
        <v>85</v>
      </c>
      <c r="E257" s="163" t="s">
        <v>245</v>
      </c>
      <c r="F257" s="47"/>
      <c r="G257" s="47">
        <v>63.8</v>
      </c>
      <c r="H257" s="40">
        <f t="shared" si="16"/>
        <v>2806.562</v>
      </c>
      <c r="I257" s="40">
        <v>43990</v>
      </c>
      <c r="J257" s="40"/>
      <c r="K257" s="64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</row>
    <row r="258" spans="1:252" s="32" customFormat="1" ht="13.5" customHeight="1" hidden="1">
      <c r="A258" s="120"/>
      <c r="B258" s="44" t="s">
        <v>240</v>
      </c>
      <c r="C258" s="45"/>
      <c r="D258" s="36" t="s">
        <v>85</v>
      </c>
      <c r="E258" s="163" t="s">
        <v>234</v>
      </c>
      <c r="F258" s="47"/>
      <c r="G258" s="47">
        <v>56.4</v>
      </c>
      <c r="H258" s="40">
        <f t="shared" si="16"/>
        <v>2481.036</v>
      </c>
      <c r="I258" s="40">
        <v>43990</v>
      </c>
      <c r="J258" s="40"/>
      <c r="K258" s="64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</row>
    <row r="259" spans="1:252" s="32" customFormat="1" ht="13.5" customHeight="1" hidden="1">
      <c r="A259" s="120"/>
      <c r="B259" s="44" t="s">
        <v>240</v>
      </c>
      <c r="C259" s="45"/>
      <c r="D259" s="36" t="s">
        <v>85</v>
      </c>
      <c r="E259" s="163" t="s">
        <v>246</v>
      </c>
      <c r="F259" s="47"/>
      <c r="G259" s="47">
        <v>62</v>
      </c>
      <c r="H259" s="40">
        <f t="shared" si="16"/>
        <v>2727.38</v>
      </c>
      <c r="I259" s="40">
        <v>43990</v>
      </c>
      <c r="J259" s="40"/>
      <c r="K259" s="64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</row>
    <row r="260" spans="1:252" s="32" customFormat="1" ht="13.5" customHeight="1" hidden="1">
      <c r="A260" s="120"/>
      <c r="B260" s="44" t="s">
        <v>240</v>
      </c>
      <c r="C260" s="45"/>
      <c r="D260" s="36" t="s">
        <v>85</v>
      </c>
      <c r="E260" s="163" t="s">
        <v>247</v>
      </c>
      <c r="F260" s="47"/>
      <c r="G260" s="47">
        <v>60</v>
      </c>
      <c r="H260" s="40">
        <f t="shared" si="16"/>
        <v>2639.3999999999996</v>
      </c>
      <c r="I260" s="40">
        <v>43990</v>
      </c>
      <c r="J260" s="40"/>
      <c r="K260" s="64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</row>
    <row r="261" spans="1:252" s="32" customFormat="1" ht="13.5" customHeight="1" hidden="1">
      <c r="A261" s="120"/>
      <c r="B261" s="44" t="s">
        <v>240</v>
      </c>
      <c r="C261" s="45"/>
      <c r="D261" s="36" t="s">
        <v>85</v>
      </c>
      <c r="E261" s="163" t="s">
        <v>248</v>
      </c>
      <c r="F261" s="47"/>
      <c r="G261" s="47">
        <v>63.17</v>
      </c>
      <c r="H261" s="40">
        <f t="shared" si="16"/>
        <v>2778.8483</v>
      </c>
      <c r="I261" s="40">
        <v>43990</v>
      </c>
      <c r="J261" s="40"/>
      <c r="K261" s="64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</row>
    <row r="262" spans="1:252" s="32" customFormat="1" ht="13.5" customHeight="1" hidden="1">
      <c r="A262" s="120"/>
      <c r="B262" s="44" t="s">
        <v>240</v>
      </c>
      <c r="C262" s="45"/>
      <c r="D262" s="36" t="s">
        <v>85</v>
      </c>
      <c r="E262" s="163" t="s">
        <v>249</v>
      </c>
      <c r="F262" s="47"/>
      <c r="G262" s="47">
        <v>73.4</v>
      </c>
      <c r="H262" s="40">
        <f t="shared" si="16"/>
        <v>3228.866</v>
      </c>
      <c r="I262" s="40">
        <v>43990</v>
      </c>
      <c r="J262" s="40"/>
      <c r="K262" s="64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</row>
    <row r="263" spans="1:252" s="32" customFormat="1" ht="13.5" customHeight="1" hidden="1">
      <c r="A263" s="120"/>
      <c r="B263" s="199" t="s">
        <v>250</v>
      </c>
      <c r="C263" s="200"/>
      <c r="D263" s="201" t="s">
        <v>85</v>
      </c>
      <c r="E263" s="202"/>
      <c r="F263" s="203"/>
      <c r="G263" s="182">
        <v>119</v>
      </c>
      <c r="H263" s="204">
        <f t="shared" si="16"/>
        <v>5234.8099999999995</v>
      </c>
      <c r="I263" s="40">
        <v>43990</v>
      </c>
      <c r="J263" s="41"/>
      <c r="K263" s="42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</row>
    <row r="264" spans="1:252" s="32" customFormat="1" ht="13.5" customHeight="1" hidden="1">
      <c r="A264" s="120"/>
      <c r="B264" s="199" t="s">
        <v>251</v>
      </c>
      <c r="C264" s="200"/>
      <c r="D264" s="201" t="s">
        <v>85</v>
      </c>
      <c r="E264" s="202" t="s">
        <v>252</v>
      </c>
      <c r="F264" s="203"/>
      <c r="G264" s="203">
        <v>81.67</v>
      </c>
      <c r="H264" s="204">
        <f t="shared" si="16"/>
        <v>2429.6825</v>
      </c>
      <c r="I264" s="40">
        <v>29750</v>
      </c>
      <c r="J264" s="204"/>
      <c r="K264" s="121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  <c r="HP264" s="33"/>
      <c r="HQ264" s="33"/>
      <c r="HR264" s="33"/>
      <c r="HS264" s="33"/>
      <c r="HT264" s="33"/>
      <c r="HU264" s="33"/>
      <c r="HV264" s="33"/>
      <c r="HW264" s="33"/>
      <c r="HX264" s="33"/>
      <c r="HY264" s="33"/>
      <c r="HZ264" s="33"/>
      <c r="IA264" s="33"/>
      <c r="IB264" s="33"/>
      <c r="IC264" s="33"/>
      <c r="ID264" s="33"/>
      <c r="IE264" s="33"/>
      <c r="IF264" s="33"/>
      <c r="IG264" s="33"/>
      <c r="IH264" s="33"/>
      <c r="II264" s="33"/>
      <c r="IJ264" s="33"/>
      <c r="IK264" s="33"/>
      <c r="IL264" s="33"/>
      <c r="IM264" s="33"/>
      <c r="IN264" s="33"/>
      <c r="IO264" s="33"/>
      <c r="IP264" s="33"/>
      <c r="IQ264" s="33"/>
      <c r="IR264" s="33"/>
    </row>
    <row r="265" spans="1:12" s="48" customFormat="1" ht="21" customHeight="1">
      <c r="A265" s="120"/>
      <c r="B265" s="28" t="s">
        <v>253</v>
      </c>
      <c r="C265" s="30"/>
      <c r="D265" s="30"/>
      <c r="E265" s="30"/>
      <c r="F265" s="30"/>
      <c r="G265" s="30"/>
      <c r="H265" s="30"/>
      <c r="I265" s="30"/>
      <c r="J265" s="30"/>
      <c r="K265" s="66"/>
      <c r="L265" s="48">
        <v>279</v>
      </c>
    </row>
    <row r="266" spans="1:11" s="48" customFormat="1" ht="13.5" customHeight="1" hidden="1">
      <c r="A266" s="120"/>
      <c r="B266" s="76" t="s">
        <v>254</v>
      </c>
      <c r="C266" s="69">
        <v>12</v>
      </c>
      <c r="D266" s="37" t="s">
        <v>87</v>
      </c>
      <c r="E266" s="205" t="s">
        <v>141</v>
      </c>
      <c r="F266" s="38">
        <v>8.1</v>
      </c>
      <c r="G266" s="206">
        <f>E266*F266*1.04</f>
        <v>98.5608</v>
      </c>
      <c r="H266" s="40">
        <f aca="true" t="shared" si="17" ref="H266:H274">I266/(1000/G266)</f>
        <v>2068.7911919999997</v>
      </c>
      <c r="I266" s="41">
        <v>20990</v>
      </c>
      <c r="J266" s="41"/>
      <c r="K266" s="207"/>
    </row>
    <row r="267" spans="1:11" s="48" customFormat="1" ht="13.5" customHeight="1" hidden="1">
      <c r="A267" s="120"/>
      <c r="B267" s="44" t="s">
        <v>255</v>
      </c>
      <c r="C267" s="45">
        <v>35</v>
      </c>
      <c r="D267" s="36" t="s">
        <v>87</v>
      </c>
      <c r="E267" s="104" t="s">
        <v>256</v>
      </c>
      <c r="F267" s="47">
        <f>9.46*1.04</f>
        <v>9.838400000000002</v>
      </c>
      <c r="G267" s="206">
        <f>E267*F267</f>
        <v>88.54560000000002</v>
      </c>
      <c r="H267" s="40">
        <f t="shared" si="17"/>
        <v>3009.6649440000006</v>
      </c>
      <c r="I267" s="40">
        <v>33990</v>
      </c>
      <c r="J267" s="40"/>
      <c r="K267" s="171"/>
    </row>
    <row r="268" spans="1:11" s="48" customFormat="1" ht="13.5" customHeight="1" hidden="1">
      <c r="A268" s="120"/>
      <c r="B268" s="76" t="s">
        <v>257</v>
      </c>
      <c r="C268" s="69">
        <v>40</v>
      </c>
      <c r="D268" s="37" t="s">
        <v>87</v>
      </c>
      <c r="E268" s="205" t="s">
        <v>256</v>
      </c>
      <c r="F268" s="38">
        <v>11.5</v>
      </c>
      <c r="G268" s="206">
        <f>E268*F268</f>
        <v>103.5</v>
      </c>
      <c r="H268" s="40">
        <f t="shared" si="17"/>
        <v>3828.4649999999997</v>
      </c>
      <c r="I268" s="41">
        <v>36990</v>
      </c>
      <c r="J268" s="41"/>
      <c r="K268" s="208"/>
    </row>
    <row r="269" spans="1:11" s="48" customFormat="1" ht="13.5" customHeight="1" hidden="1">
      <c r="A269" s="120"/>
      <c r="B269" s="76" t="s">
        <v>258</v>
      </c>
      <c r="C269" s="69">
        <v>12</v>
      </c>
      <c r="D269" s="37" t="s">
        <v>87</v>
      </c>
      <c r="E269" s="205" t="s">
        <v>141</v>
      </c>
      <c r="F269" s="38">
        <v>8.67</v>
      </c>
      <c r="G269" s="206">
        <f>E269*F269*1.04</f>
        <v>105.49656</v>
      </c>
      <c r="H269" s="40">
        <f t="shared" si="17"/>
        <v>3058.3452744</v>
      </c>
      <c r="I269" s="41">
        <v>28990</v>
      </c>
      <c r="J269" s="41"/>
      <c r="K269" s="209"/>
    </row>
    <row r="270" spans="1:11" s="48" customFormat="1" ht="13.5" customHeight="1" hidden="1">
      <c r="A270" s="120"/>
      <c r="B270" s="76" t="s">
        <v>258</v>
      </c>
      <c r="C270" s="69">
        <v>12</v>
      </c>
      <c r="D270" s="37" t="s">
        <v>87</v>
      </c>
      <c r="E270" s="205" t="s">
        <v>139</v>
      </c>
      <c r="F270" s="38">
        <v>8.67</v>
      </c>
      <c r="G270" s="206">
        <f>E270*F270*1.04</f>
        <v>108.2016</v>
      </c>
      <c r="H270" s="40">
        <f t="shared" si="17"/>
        <v>3569.570784</v>
      </c>
      <c r="I270" s="41">
        <v>32990</v>
      </c>
      <c r="J270" s="41"/>
      <c r="K270" s="209"/>
    </row>
    <row r="271" spans="1:11" s="48" customFormat="1" ht="13.5" customHeight="1" hidden="1">
      <c r="A271" s="120"/>
      <c r="B271" s="76" t="s">
        <v>259</v>
      </c>
      <c r="C271" s="69">
        <v>45</v>
      </c>
      <c r="D271" s="37" t="s">
        <v>87</v>
      </c>
      <c r="E271" s="205" t="s">
        <v>139</v>
      </c>
      <c r="F271" s="38">
        <f>13.7*1.04</f>
        <v>14.248</v>
      </c>
      <c r="G271" s="206">
        <f>E271*F271</f>
        <v>170.976</v>
      </c>
      <c r="H271" s="40">
        <f t="shared" si="17"/>
        <v>5298.54624</v>
      </c>
      <c r="I271" s="41">
        <v>30990</v>
      </c>
      <c r="J271" s="41"/>
      <c r="K271" s="208"/>
    </row>
    <row r="272" spans="1:11" s="48" customFormat="1" ht="13.5" customHeight="1" hidden="1">
      <c r="A272" s="120"/>
      <c r="B272" s="76" t="s">
        <v>260</v>
      </c>
      <c r="C272" s="69">
        <v>16</v>
      </c>
      <c r="D272" s="37" t="s">
        <v>87</v>
      </c>
      <c r="E272" s="205" t="s">
        <v>141</v>
      </c>
      <c r="F272" s="38">
        <v>16.33</v>
      </c>
      <c r="G272" s="206">
        <f>E272*F272*1.04</f>
        <v>198.70343999999997</v>
      </c>
      <c r="H272" s="40">
        <f t="shared" si="17"/>
        <v>7548.743685599999</v>
      </c>
      <c r="I272" s="41">
        <v>37990</v>
      </c>
      <c r="J272" s="41"/>
      <c r="K272" s="209"/>
    </row>
    <row r="273" spans="1:11" s="48" customFormat="1" ht="13.5" customHeight="1" hidden="1">
      <c r="A273" s="120"/>
      <c r="B273" s="76" t="s">
        <v>260</v>
      </c>
      <c r="C273" s="69">
        <v>38</v>
      </c>
      <c r="D273" s="37" t="s">
        <v>87</v>
      </c>
      <c r="E273" s="205" t="s">
        <v>139</v>
      </c>
      <c r="F273" s="38">
        <f>15.9*1.04</f>
        <v>16.536</v>
      </c>
      <c r="G273" s="206">
        <f>E273*F273</f>
        <v>198.43200000000002</v>
      </c>
      <c r="H273" s="40">
        <f t="shared" si="17"/>
        <v>6744.7036800000005</v>
      </c>
      <c r="I273" s="41">
        <v>33990</v>
      </c>
      <c r="J273" s="41"/>
      <c r="K273" s="209"/>
    </row>
    <row r="274" spans="1:11" s="48" customFormat="1" ht="13.5" customHeight="1" hidden="1">
      <c r="A274" s="120"/>
      <c r="B274" s="76" t="s">
        <v>261</v>
      </c>
      <c r="C274" s="69">
        <v>16</v>
      </c>
      <c r="D274" s="37" t="s">
        <v>87</v>
      </c>
      <c r="E274" s="70">
        <v>12</v>
      </c>
      <c r="F274" s="38">
        <v>12.7</v>
      </c>
      <c r="G274" s="206">
        <f>E274*F274*1.04</f>
        <v>158.49599999999998</v>
      </c>
      <c r="H274" s="40">
        <f t="shared" si="17"/>
        <v>5783.519039999999</v>
      </c>
      <c r="I274" s="41">
        <v>36490</v>
      </c>
      <c r="J274" s="41">
        <f>I274-240</f>
        <v>36250</v>
      </c>
      <c r="K274" s="209"/>
    </row>
    <row r="275" spans="1:11" s="48" customFormat="1" ht="13.5" customHeight="1" hidden="1">
      <c r="A275" s="120"/>
      <c r="B275" s="76" t="s">
        <v>262</v>
      </c>
      <c r="C275" s="69">
        <v>18</v>
      </c>
      <c r="D275" s="37" t="s">
        <v>87</v>
      </c>
      <c r="E275" s="104" t="s">
        <v>48</v>
      </c>
      <c r="F275" s="38">
        <v>18.4</v>
      </c>
      <c r="G275" s="206"/>
      <c r="H275" s="40"/>
      <c r="I275" s="41">
        <v>36490</v>
      </c>
      <c r="J275" s="41">
        <f>I275-240</f>
        <v>36250</v>
      </c>
      <c r="K275" s="209"/>
    </row>
    <row r="276" spans="1:11" s="48" customFormat="1" ht="13.5" customHeight="1" hidden="1">
      <c r="A276" s="120"/>
      <c r="B276" s="76" t="s">
        <v>262</v>
      </c>
      <c r="C276" s="69">
        <v>44</v>
      </c>
      <c r="D276" s="37" t="s">
        <v>87</v>
      </c>
      <c r="E276" s="46">
        <v>12</v>
      </c>
      <c r="F276" s="38">
        <v>18.4</v>
      </c>
      <c r="G276" s="206">
        <f>E276*F276*1.04</f>
        <v>229.63199999999998</v>
      </c>
      <c r="H276" s="40">
        <f>I276/(1000/G276)</f>
        <v>7805.191679999999</v>
      </c>
      <c r="I276" s="40">
        <v>33990</v>
      </c>
      <c r="J276" s="41"/>
      <c r="K276" s="209"/>
    </row>
    <row r="277" spans="1:11" s="48" customFormat="1" ht="13.5" customHeight="1" hidden="1">
      <c r="A277" s="120"/>
      <c r="B277" s="44" t="s">
        <v>263</v>
      </c>
      <c r="C277" s="45">
        <v>20</v>
      </c>
      <c r="D277" s="36" t="s">
        <v>87</v>
      </c>
      <c r="E277" s="104" t="s">
        <v>48</v>
      </c>
      <c r="F277" s="47">
        <v>21</v>
      </c>
      <c r="G277" s="206"/>
      <c r="H277" s="40"/>
      <c r="I277" s="40">
        <v>33990</v>
      </c>
      <c r="J277" s="41">
        <f>I277-240</f>
        <v>33750</v>
      </c>
      <c r="K277" s="209"/>
    </row>
    <row r="278" spans="1:11" s="48" customFormat="1" ht="13.5" customHeight="1" hidden="1">
      <c r="A278" s="120"/>
      <c r="B278" s="44" t="s">
        <v>263</v>
      </c>
      <c r="C278" s="45">
        <v>50</v>
      </c>
      <c r="D278" s="36" t="s">
        <v>87</v>
      </c>
      <c r="E278" s="46">
        <v>12</v>
      </c>
      <c r="F278" s="47">
        <f>21*1.04</f>
        <v>21.84</v>
      </c>
      <c r="G278" s="206">
        <f>E278*F278</f>
        <v>262.08</v>
      </c>
      <c r="H278" s="40">
        <f>I278/(1000/G278)</f>
        <v>8121.8592</v>
      </c>
      <c r="I278" s="40">
        <v>30990</v>
      </c>
      <c r="J278" s="41"/>
      <c r="K278" s="64"/>
    </row>
    <row r="279" spans="1:11" s="48" customFormat="1" ht="13.5" customHeight="1" hidden="1">
      <c r="A279" s="120"/>
      <c r="B279" s="44" t="s">
        <v>264</v>
      </c>
      <c r="C279" s="45">
        <v>25</v>
      </c>
      <c r="D279" s="36" t="s">
        <v>265</v>
      </c>
      <c r="E279" s="46"/>
      <c r="F279" s="47">
        <v>22.4</v>
      </c>
      <c r="G279" s="206">
        <f>E279*F279*1.04</f>
        <v>0</v>
      </c>
      <c r="H279" s="40"/>
      <c r="I279" s="40">
        <v>33990</v>
      </c>
      <c r="J279" s="41"/>
      <c r="K279" s="64"/>
    </row>
    <row r="280" spans="1:11" s="48" customFormat="1" ht="13.5" customHeight="1" hidden="1">
      <c r="A280" s="120"/>
      <c r="B280" s="44" t="s">
        <v>266</v>
      </c>
      <c r="C280" s="45">
        <v>50</v>
      </c>
      <c r="D280" s="36" t="s">
        <v>267</v>
      </c>
      <c r="E280" s="46">
        <v>12</v>
      </c>
      <c r="F280" s="47">
        <f>41.5*1.04</f>
        <v>43.160000000000004</v>
      </c>
      <c r="G280" s="206">
        <f>E280*F280</f>
        <v>517.9200000000001</v>
      </c>
      <c r="H280" s="40">
        <f>I280/(1000/G280)</f>
        <v>19520.404800000004</v>
      </c>
      <c r="I280" s="40">
        <v>37690</v>
      </c>
      <c r="J280" s="41"/>
      <c r="K280" s="42"/>
    </row>
    <row r="281" spans="1:11" s="48" customFormat="1" ht="13.5" customHeight="1" hidden="1">
      <c r="A281" s="120"/>
      <c r="B281" s="44" t="s">
        <v>268</v>
      </c>
      <c r="C281" s="45">
        <v>60</v>
      </c>
      <c r="D281" s="36" t="s">
        <v>87</v>
      </c>
      <c r="E281" s="46">
        <v>12</v>
      </c>
      <c r="F281" s="47">
        <f>38.3*1.04</f>
        <v>39.832</v>
      </c>
      <c r="G281" s="206">
        <f>E281*F281</f>
        <v>477.98400000000004</v>
      </c>
      <c r="H281" s="40">
        <f>I281/(1000/G281)</f>
        <v>19114.58016</v>
      </c>
      <c r="I281" s="40">
        <v>39990</v>
      </c>
      <c r="J281" s="41"/>
      <c r="K281" s="42" t="s">
        <v>269</v>
      </c>
    </row>
    <row r="282" spans="1:11" s="48" customFormat="1" ht="13.5" customHeight="1" hidden="1">
      <c r="A282" s="120"/>
      <c r="B282" s="44" t="s">
        <v>270</v>
      </c>
      <c r="C282" s="45">
        <v>65</v>
      </c>
      <c r="D282" s="36" t="s">
        <v>271</v>
      </c>
      <c r="E282" s="46">
        <v>12</v>
      </c>
      <c r="F282" s="47">
        <f>25.7*1.04</f>
        <v>26.728</v>
      </c>
      <c r="G282" s="206">
        <f>E282*F282</f>
        <v>320.736</v>
      </c>
      <c r="H282" s="40">
        <f>I282/(1000/G282)</f>
        <v>15231.75264</v>
      </c>
      <c r="I282" s="40">
        <v>47490</v>
      </c>
      <c r="J282" s="40"/>
      <c r="K282" s="209"/>
    </row>
    <row r="283" spans="1:11" s="48" customFormat="1" ht="13.5" customHeight="1" hidden="1">
      <c r="A283" s="120"/>
      <c r="B283" s="108" t="s">
        <v>272</v>
      </c>
      <c r="C283" s="109">
        <v>50</v>
      </c>
      <c r="D283" s="36" t="s">
        <v>273</v>
      </c>
      <c r="E283" s="111">
        <v>12</v>
      </c>
      <c r="F283" s="118">
        <v>44.1</v>
      </c>
      <c r="G283" s="206">
        <f>E283*F283</f>
        <v>529.2</v>
      </c>
      <c r="H283" s="40">
        <f>I283/(1000/G283)</f>
        <v>17352.468</v>
      </c>
      <c r="I283" s="204">
        <v>32790</v>
      </c>
      <c r="J283" s="204"/>
      <c r="K283" s="210"/>
    </row>
    <row r="284" spans="1:11" s="48" customFormat="1" ht="13.5" customHeight="1" hidden="1">
      <c r="A284" s="120"/>
      <c r="B284" s="44" t="s">
        <v>274</v>
      </c>
      <c r="C284" s="45"/>
      <c r="D284" s="36" t="s">
        <v>87</v>
      </c>
      <c r="E284" s="46">
        <v>12</v>
      </c>
      <c r="F284" s="47">
        <f>32*1.04</f>
        <v>33.28</v>
      </c>
      <c r="G284" s="206">
        <f>E284*F284</f>
        <v>399.36</v>
      </c>
      <c r="H284" s="40">
        <f>I284/(1000/G284)</f>
        <v>17967.2064</v>
      </c>
      <c r="I284" s="40">
        <v>44990</v>
      </c>
      <c r="J284" s="40"/>
      <c r="K284" s="209"/>
    </row>
    <row r="285" spans="1:12" s="48" customFormat="1" ht="13.5" customHeight="1">
      <c r="A285" s="120"/>
      <c r="B285" s="44" t="s">
        <v>275</v>
      </c>
      <c r="C285" s="45"/>
      <c r="D285" s="36" t="s">
        <v>276</v>
      </c>
      <c r="E285" s="46" t="s">
        <v>277</v>
      </c>
      <c r="F285" s="47">
        <f>68.6*1.0083</f>
        <v>69.16937999999999</v>
      </c>
      <c r="G285" s="206"/>
      <c r="H285" s="40"/>
      <c r="I285" s="40">
        <v>48990</v>
      </c>
      <c r="J285" s="40"/>
      <c r="K285" s="209"/>
      <c r="L285" s="48">
        <v>279</v>
      </c>
    </row>
    <row r="286" spans="1:11" s="48" customFormat="1" ht="13.5" customHeight="1" hidden="1">
      <c r="A286" s="120"/>
      <c r="B286" s="44" t="s">
        <v>278</v>
      </c>
      <c r="C286" s="45"/>
      <c r="D286" s="36" t="s">
        <v>87</v>
      </c>
      <c r="E286" s="46">
        <v>12</v>
      </c>
      <c r="F286" s="47"/>
      <c r="G286" s="211">
        <v>620</v>
      </c>
      <c r="H286" s="40">
        <f>I286/(1000/G286)</f>
        <v>27893.800000000003</v>
      </c>
      <c r="I286" s="40">
        <v>44990</v>
      </c>
      <c r="J286" s="40"/>
      <c r="K286" s="209"/>
    </row>
    <row r="287" spans="1:11" s="48" customFormat="1" ht="13.5" customHeight="1" hidden="1">
      <c r="A287" s="120"/>
      <c r="B287" s="44" t="s">
        <v>279</v>
      </c>
      <c r="C287" s="45"/>
      <c r="D287" s="36" t="s">
        <v>87</v>
      </c>
      <c r="E287" s="46">
        <v>12</v>
      </c>
      <c r="F287" s="47"/>
      <c r="G287" s="211">
        <v>716</v>
      </c>
      <c r="H287" s="40">
        <f>I287/(1000/G287)</f>
        <v>28274.84</v>
      </c>
      <c r="I287" s="40">
        <v>39490</v>
      </c>
      <c r="J287" s="40"/>
      <c r="K287" s="209"/>
    </row>
    <row r="288" spans="1:11" s="48" customFormat="1" ht="13.5" customHeight="1" hidden="1">
      <c r="A288" s="120"/>
      <c r="B288" s="108" t="s">
        <v>280</v>
      </c>
      <c r="C288" s="109"/>
      <c r="D288" s="117" t="s">
        <v>87</v>
      </c>
      <c r="E288" s="111">
        <v>12</v>
      </c>
      <c r="F288" s="118"/>
      <c r="G288" s="212">
        <v>679</v>
      </c>
      <c r="H288" s="113">
        <f>I288/(1000/G288)</f>
        <v>28511.21</v>
      </c>
      <c r="I288" s="113">
        <v>41990</v>
      </c>
      <c r="J288" s="113"/>
      <c r="K288" s="210"/>
    </row>
    <row r="289" spans="1:12" s="48" customFormat="1" ht="21" customHeight="1">
      <c r="A289" s="120"/>
      <c r="B289" s="28" t="s">
        <v>281</v>
      </c>
      <c r="C289" s="30"/>
      <c r="D289" s="30"/>
      <c r="E289" s="30"/>
      <c r="F289" s="30"/>
      <c r="G289" s="30"/>
      <c r="H289" s="30"/>
      <c r="I289" s="30"/>
      <c r="J289" s="30"/>
      <c r="K289" s="66"/>
      <c r="L289" s="48">
        <v>280</v>
      </c>
    </row>
    <row r="290" spans="1:11" s="48" customFormat="1" ht="13.5" customHeight="1" hidden="1">
      <c r="A290" s="120"/>
      <c r="B290" s="44" t="s">
        <v>282</v>
      </c>
      <c r="C290" s="45">
        <v>10</v>
      </c>
      <c r="D290" s="36" t="s">
        <v>87</v>
      </c>
      <c r="E290" s="104" t="s">
        <v>48</v>
      </c>
      <c r="F290" s="47">
        <f>4.84*1.04</f>
        <v>5.0336</v>
      </c>
      <c r="G290" s="47"/>
      <c r="H290" s="40"/>
      <c r="I290" s="40">
        <v>30990</v>
      </c>
      <c r="J290" s="40"/>
      <c r="K290" s="213"/>
    </row>
    <row r="291" spans="1:11" s="48" customFormat="1" ht="13.5" customHeight="1" hidden="1">
      <c r="A291" s="120"/>
      <c r="B291" s="199" t="s">
        <v>283</v>
      </c>
      <c r="C291" s="200">
        <v>12</v>
      </c>
      <c r="D291" s="201" t="s">
        <v>87</v>
      </c>
      <c r="E291" s="214" t="s">
        <v>141</v>
      </c>
      <c r="F291" s="203">
        <f>4.84*1.04</f>
        <v>5.0336</v>
      </c>
      <c r="G291" s="47">
        <f>E291*F291</f>
        <v>58.893119999999996</v>
      </c>
      <c r="H291" s="40">
        <f>I291/(1000/G291)</f>
        <v>1899.30312</v>
      </c>
      <c r="I291" s="40">
        <v>32250</v>
      </c>
      <c r="J291" s="41"/>
      <c r="K291" s="215"/>
    </row>
    <row r="292" spans="1:12" s="48" customFormat="1" ht="13.5" customHeight="1">
      <c r="A292" s="120"/>
      <c r="B292" s="44" t="s">
        <v>284</v>
      </c>
      <c r="C292" s="45">
        <v>20</v>
      </c>
      <c r="D292" s="36" t="s">
        <v>285</v>
      </c>
      <c r="E292" s="104" t="s">
        <v>56</v>
      </c>
      <c r="F292" s="47">
        <f>5.9*1.04</f>
        <v>6.136000000000001</v>
      </c>
      <c r="G292" s="47">
        <f>E292*F292</f>
        <v>36.816</v>
      </c>
      <c r="H292" s="40">
        <f>I292/(1000/G292)</f>
        <v>1914.0638400000003</v>
      </c>
      <c r="I292" s="113">
        <v>51990</v>
      </c>
      <c r="J292" s="41"/>
      <c r="K292" s="216"/>
      <c r="L292" s="48">
        <v>280</v>
      </c>
    </row>
    <row r="293" spans="1:11" s="48" customFormat="1" ht="13.5" customHeight="1" hidden="1">
      <c r="A293" s="120"/>
      <c r="B293" s="44" t="s">
        <v>286</v>
      </c>
      <c r="C293" s="45">
        <v>15</v>
      </c>
      <c r="D293" s="36" t="s">
        <v>285</v>
      </c>
      <c r="E293" s="104" t="s">
        <v>48</v>
      </c>
      <c r="F293" s="47">
        <f>7.05*1.04</f>
        <v>7.332</v>
      </c>
      <c r="G293" s="47"/>
      <c r="H293" s="40"/>
      <c r="I293" s="113">
        <v>39990</v>
      </c>
      <c r="J293" s="41">
        <f>I293-240</f>
        <v>39750</v>
      </c>
      <c r="K293" s="216"/>
    </row>
    <row r="294" spans="1:12" s="48" customFormat="1" ht="13.5" customHeight="1">
      <c r="A294" s="120"/>
      <c r="B294" s="44" t="s">
        <v>287</v>
      </c>
      <c r="C294" s="45">
        <v>28</v>
      </c>
      <c r="D294" s="36" t="s">
        <v>285</v>
      </c>
      <c r="E294" s="217">
        <v>11.7</v>
      </c>
      <c r="F294" s="47">
        <f>7.05*1.04</f>
        <v>7.332</v>
      </c>
      <c r="G294" s="47">
        <f>E294*F294</f>
        <v>85.78439999999999</v>
      </c>
      <c r="H294" s="40">
        <f>I294/(1000/G294)</f>
        <v>4502.8231559999995</v>
      </c>
      <c r="I294" s="113">
        <v>52490</v>
      </c>
      <c r="J294" s="41"/>
      <c r="K294" s="216"/>
      <c r="L294" s="48">
        <v>280</v>
      </c>
    </row>
    <row r="295" spans="1:11" s="48" customFormat="1" ht="13.5" customHeight="1" hidden="1">
      <c r="A295" s="120"/>
      <c r="B295" s="44" t="s">
        <v>286</v>
      </c>
      <c r="C295" s="45">
        <v>28</v>
      </c>
      <c r="D295" s="36" t="s">
        <v>285</v>
      </c>
      <c r="E295" s="217">
        <v>12</v>
      </c>
      <c r="F295" s="47">
        <f>7.05*1.04</f>
        <v>7.332</v>
      </c>
      <c r="G295" s="47">
        <f>E295*F295</f>
        <v>87.984</v>
      </c>
      <c r="H295" s="40">
        <f>I295/(1000/G295)</f>
        <v>3166.5441599999995</v>
      </c>
      <c r="I295" s="113">
        <v>35990</v>
      </c>
      <c r="J295" s="41">
        <f>I295-240</f>
        <v>35750</v>
      </c>
      <c r="K295" s="216"/>
    </row>
    <row r="296" spans="1:11" s="48" customFormat="1" ht="13.5" customHeight="1" hidden="1">
      <c r="A296" s="120"/>
      <c r="B296" s="44" t="s">
        <v>286</v>
      </c>
      <c r="C296" s="45">
        <v>28</v>
      </c>
      <c r="D296" s="36" t="s">
        <v>285</v>
      </c>
      <c r="E296" s="217">
        <v>12</v>
      </c>
      <c r="F296" s="47">
        <f>7.05*1.04</f>
        <v>7.332</v>
      </c>
      <c r="G296" s="47">
        <f>E296*F296</f>
        <v>87.984</v>
      </c>
      <c r="H296" s="40">
        <f>I296/(1000/G296)</f>
        <v>3166.5441599999995</v>
      </c>
      <c r="I296" s="113">
        <v>35990</v>
      </c>
      <c r="J296" s="41">
        <f>I296-240</f>
        <v>35750</v>
      </c>
      <c r="K296" s="216"/>
    </row>
    <row r="297" spans="1:11" s="50" customFormat="1" ht="13.5" customHeight="1" hidden="1">
      <c r="A297" s="122"/>
      <c r="B297" s="44" t="s">
        <v>288</v>
      </c>
      <c r="C297" s="218">
        <v>35</v>
      </c>
      <c r="D297" s="36" t="s">
        <v>289</v>
      </c>
      <c r="E297" s="104" t="s">
        <v>48</v>
      </c>
      <c r="F297" s="47">
        <f>8.59*1.04</f>
        <v>8.9336</v>
      </c>
      <c r="G297" s="47"/>
      <c r="H297" s="40"/>
      <c r="I297" s="113">
        <v>35990</v>
      </c>
      <c r="J297" s="41">
        <f>I297-240</f>
        <v>35750</v>
      </c>
      <c r="K297" s="219"/>
    </row>
    <row r="298" spans="1:11" s="50" customFormat="1" ht="13.5" customHeight="1" hidden="1">
      <c r="A298" s="122"/>
      <c r="B298" s="44" t="s">
        <v>290</v>
      </c>
      <c r="C298" s="218">
        <v>35</v>
      </c>
      <c r="D298" s="220" t="s">
        <v>289</v>
      </c>
      <c r="E298" s="217">
        <v>11</v>
      </c>
      <c r="F298" s="47">
        <f>8.59*1.04</f>
        <v>8.9336</v>
      </c>
      <c r="G298" s="47">
        <f>E298*F298</f>
        <v>98.2696</v>
      </c>
      <c r="H298" s="40">
        <f>I298/(1000/G298)</f>
        <v>3536.722904</v>
      </c>
      <c r="I298" s="113">
        <v>35990</v>
      </c>
      <c r="J298" s="41">
        <f>I298-240</f>
        <v>35750</v>
      </c>
      <c r="K298" s="219"/>
    </row>
    <row r="299" spans="1:11" s="50" customFormat="1" ht="13.5" customHeight="1" hidden="1">
      <c r="A299" s="122"/>
      <c r="B299" s="44" t="s">
        <v>291</v>
      </c>
      <c r="C299" s="45">
        <v>35</v>
      </c>
      <c r="D299" s="36" t="s">
        <v>285</v>
      </c>
      <c r="E299" s="221" t="s">
        <v>141</v>
      </c>
      <c r="F299" s="47">
        <f>8.59*1.04</f>
        <v>8.9336</v>
      </c>
      <c r="G299" s="47">
        <f>E299*F299</f>
        <v>104.52311999999999</v>
      </c>
      <c r="H299" s="40">
        <f>I299/(1000/G299)</f>
        <v>3761.7870887999993</v>
      </c>
      <c r="I299" s="113">
        <v>35990</v>
      </c>
      <c r="J299" s="41">
        <f>I299-240</f>
        <v>35750</v>
      </c>
      <c r="K299" s="197"/>
    </row>
    <row r="300" spans="1:12" s="48" customFormat="1" ht="13.5" customHeight="1">
      <c r="A300" s="120"/>
      <c r="B300" s="44" t="s">
        <v>291</v>
      </c>
      <c r="C300" s="45">
        <v>35</v>
      </c>
      <c r="D300" s="36" t="s">
        <v>285</v>
      </c>
      <c r="E300" s="221" t="s">
        <v>139</v>
      </c>
      <c r="F300" s="47">
        <f>8.59*1.04</f>
        <v>8.9336</v>
      </c>
      <c r="G300" s="47">
        <f>E300*F300</f>
        <v>107.20320000000001</v>
      </c>
      <c r="H300" s="40">
        <f>I300/(1000/G300)</f>
        <v>5895.103968</v>
      </c>
      <c r="I300" s="113">
        <v>54990</v>
      </c>
      <c r="J300" s="41"/>
      <c r="K300" s="216"/>
      <c r="L300" s="48">
        <v>280</v>
      </c>
    </row>
    <row r="301" spans="1:11" s="48" customFormat="1" ht="13.5" customHeight="1" hidden="1">
      <c r="A301" s="120"/>
      <c r="B301" s="44" t="s">
        <v>292</v>
      </c>
      <c r="C301" s="45">
        <v>18</v>
      </c>
      <c r="D301" s="36" t="s">
        <v>87</v>
      </c>
      <c r="E301" s="221" t="s">
        <v>48</v>
      </c>
      <c r="F301" s="47">
        <f>10.4*1.0674</f>
        <v>11.100959999999999</v>
      </c>
      <c r="G301" s="47"/>
      <c r="H301" s="40"/>
      <c r="I301" s="113">
        <v>37990</v>
      </c>
      <c r="J301" s="41">
        <f>I301-260</f>
        <v>37730</v>
      </c>
      <c r="K301" s="216"/>
    </row>
    <row r="302" spans="1:11" s="48" customFormat="1" ht="13.5" customHeight="1" hidden="1">
      <c r="A302" s="120"/>
      <c r="B302" s="44" t="s">
        <v>292</v>
      </c>
      <c r="C302" s="45">
        <v>38</v>
      </c>
      <c r="D302" s="36" t="s">
        <v>87</v>
      </c>
      <c r="E302" s="217">
        <v>6</v>
      </c>
      <c r="F302" s="47">
        <f>10.4*1.04</f>
        <v>10.816</v>
      </c>
      <c r="G302" s="47">
        <f>E302*F302</f>
        <v>64.896</v>
      </c>
      <c r="H302" s="40">
        <f>I302/(1000/G302)</f>
        <v>3244.15104</v>
      </c>
      <c r="I302" s="113">
        <v>49990</v>
      </c>
      <c r="J302" s="41"/>
      <c r="K302" s="216"/>
    </row>
    <row r="303" spans="1:12" s="48" customFormat="1" ht="13.5" customHeight="1">
      <c r="A303" s="120"/>
      <c r="B303" s="44" t="s">
        <v>293</v>
      </c>
      <c r="C303" s="45">
        <v>38</v>
      </c>
      <c r="D303" s="36" t="s">
        <v>87</v>
      </c>
      <c r="E303" s="217">
        <v>12</v>
      </c>
      <c r="F303" s="47">
        <f>10.4*1.04</f>
        <v>10.816</v>
      </c>
      <c r="G303" s="47">
        <f>E303*F303</f>
        <v>129.792</v>
      </c>
      <c r="H303" s="40">
        <f>I303/(1000/G303)</f>
        <v>7526.638080000001</v>
      </c>
      <c r="I303" s="113">
        <v>57990</v>
      </c>
      <c r="J303" s="41"/>
      <c r="K303" s="216"/>
      <c r="L303" s="48">
        <v>280</v>
      </c>
    </row>
    <row r="304" spans="1:11" s="48" customFormat="1" ht="13.5" customHeight="1" hidden="1">
      <c r="A304" s="120"/>
      <c r="B304" s="44" t="s">
        <v>294</v>
      </c>
      <c r="C304" s="45">
        <v>38</v>
      </c>
      <c r="D304" s="36" t="s">
        <v>87</v>
      </c>
      <c r="E304" s="221" t="s">
        <v>139</v>
      </c>
      <c r="F304" s="47">
        <f>10.4*1.04</f>
        <v>10.816</v>
      </c>
      <c r="G304" s="47">
        <f>E304*F304</f>
        <v>129.792</v>
      </c>
      <c r="H304" s="40">
        <f>I304/(1000/G304)</f>
        <v>5548.608</v>
      </c>
      <c r="I304" s="113">
        <v>42750</v>
      </c>
      <c r="J304" s="41"/>
      <c r="K304" s="216"/>
    </row>
    <row r="305" spans="1:11" s="48" customFormat="1" ht="13.5" customHeight="1" hidden="1">
      <c r="A305" s="120"/>
      <c r="B305" s="44" t="s">
        <v>295</v>
      </c>
      <c r="C305" s="45">
        <v>40</v>
      </c>
      <c r="D305" s="36"/>
      <c r="E305" s="222" t="s">
        <v>277</v>
      </c>
      <c r="F305" s="47">
        <f>12.3*1.04</f>
        <v>12.792000000000002</v>
      </c>
      <c r="G305" s="47"/>
      <c r="H305" s="40"/>
      <c r="I305" s="113">
        <v>42490</v>
      </c>
      <c r="J305" s="41">
        <f>I305-240</f>
        <v>42250</v>
      </c>
      <c r="K305" s="216"/>
    </row>
    <row r="306" spans="1:12" s="50" customFormat="1" ht="13.5" customHeight="1">
      <c r="A306" s="122"/>
      <c r="B306" s="44" t="s">
        <v>296</v>
      </c>
      <c r="C306" s="45">
        <v>40</v>
      </c>
      <c r="D306" s="36" t="s">
        <v>297</v>
      </c>
      <c r="E306" s="104" t="s">
        <v>139</v>
      </c>
      <c r="F306" s="47">
        <f>12.3*1.04</f>
        <v>12.792000000000002</v>
      </c>
      <c r="G306" s="47">
        <f>E306*F306</f>
        <v>153.50400000000002</v>
      </c>
      <c r="H306" s="40">
        <f>I306/(1000/G306)</f>
        <v>9285.456960000001</v>
      </c>
      <c r="I306" s="113">
        <v>60490</v>
      </c>
      <c r="J306" s="41"/>
      <c r="K306" s="197"/>
      <c r="L306" s="50">
        <v>280</v>
      </c>
    </row>
    <row r="307" spans="1:11" s="50" customFormat="1" ht="13.5" customHeight="1" hidden="1">
      <c r="A307" s="122"/>
      <c r="B307" s="44" t="s">
        <v>298</v>
      </c>
      <c r="C307" s="45">
        <v>25</v>
      </c>
      <c r="D307" s="36" t="s">
        <v>87</v>
      </c>
      <c r="E307" s="104" t="s">
        <v>48</v>
      </c>
      <c r="F307" s="47">
        <f>14.2*1.06535</f>
        <v>15.12797</v>
      </c>
      <c r="G307" s="47"/>
      <c r="H307" s="40"/>
      <c r="I307" s="113">
        <v>42490</v>
      </c>
      <c r="J307" s="41">
        <f>I307-240</f>
        <v>42250</v>
      </c>
      <c r="K307" s="197"/>
    </row>
    <row r="308" spans="1:11" s="48" customFormat="1" ht="13.5" customHeight="1" hidden="1">
      <c r="A308" s="120"/>
      <c r="B308" s="44" t="s">
        <v>299</v>
      </c>
      <c r="C308" s="45">
        <v>25</v>
      </c>
      <c r="D308" s="36" t="s">
        <v>87</v>
      </c>
      <c r="E308" s="104" t="s">
        <v>256</v>
      </c>
      <c r="F308" s="47">
        <f>14.2*1.06535</f>
        <v>15.12797</v>
      </c>
      <c r="G308" s="47">
        <f>E308*F308</f>
        <v>136.15173</v>
      </c>
      <c r="H308" s="40">
        <f>I308/(1000/G308)</f>
        <v>5785.087007699999</v>
      </c>
      <c r="I308" s="113">
        <v>42490</v>
      </c>
      <c r="J308" s="41">
        <f>I308-240</f>
        <v>42250</v>
      </c>
      <c r="K308" s="197"/>
    </row>
    <row r="309" spans="1:11" s="48" customFormat="1" ht="13.5" customHeight="1" hidden="1">
      <c r="A309" s="120"/>
      <c r="B309" s="44" t="s">
        <v>300</v>
      </c>
      <c r="C309" s="45">
        <v>44</v>
      </c>
      <c r="D309" s="36" t="s">
        <v>87</v>
      </c>
      <c r="E309" s="104" t="s">
        <v>141</v>
      </c>
      <c r="F309" s="47">
        <v>14.767999999999999</v>
      </c>
      <c r="G309" s="47">
        <v>172.7856</v>
      </c>
      <c r="H309" s="40">
        <v>6736.910543999999</v>
      </c>
      <c r="I309" s="113">
        <v>42490</v>
      </c>
      <c r="J309" s="41">
        <v>38750</v>
      </c>
      <c r="K309" s="197"/>
    </row>
    <row r="310" spans="1:12" s="50" customFormat="1" ht="13.5" customHeight="1">
      <c r="A310" s="122"/>
      <c r="B310" s="44" t="s">
        <v>300</v>
      </c>
      <c r="C310" s="45">
        <v>44</v>
      </c>
      <c r="D310" s="36" t="s">
        <v>87</v>
      </c>
      <c r="E310" s="104" t="s">
        <v>139</v>
      </c>
      <c r="F310" s="47">
        <f>14.2*1.04</f>
        <v>14.767999999999999</v>
      </c>
      <c r="G310" s="47">
        <f>E310*F310</f>
        <v>177.21599999999998</v>
      </c>
      <c r="H310" s="40">
        <f>I310/(1000/G310)</f>
        <v>10719.795839999999</v>
      </c>
      <c r="I310" s="113">
        <v>60490</v>
      </c>
      <c r="J310" s="41"/>
      <c r="K310" s="197"/>
      <c r="L310" s="50">
        <v>280</v>
      </c>
    </row>
    <row r="311" spans="1:11" s="48" customFormat="1" ht="13.5" customHeight="1" hidden="1">
      <c r="A311" s="120"/>
      <c r="B311" s="44" t="s">
        <v>301</v>
      </c>
      <c r="C311" s="45">
        <v>27</v>
      </c>
      <c r="D311" s="36" t="s">
        <v>87</v>
      </c>
      <c r="E311" s="104" t="s">
        <v>48</v>
      </c>
      <c r="F311" s="47">
        <f>16.3*1.04</f>
        <v>16.952</v>
      </c>
      <c r="G311" s="47"/>
      <c r="H311" s="40"/>
      <c r="I311" s="113">
        <v>42490</v>
      </c>
      <c r="J311" s="41">
        <f>I311-240</f>
        <v>42250</v>
      </c>
      <c r="K311" s="216"/>
    </row>
    <row r="312" spans="1:11" s="48" customFormat="1" ht="13.5" customHeight="1" hidden="1">
      <c r="A312" s="120"/>
      <c r="B312" s="44" t="s">
        <v>301</v>
      </c>
      <c r="C312" s="45">
        <v>48</v>
      </c>
      <c r="D312" s="36" t="s">
        <v>87</v>
      </c>
      <c r="E312" s="104" t="s">
        <v>141</v>
      </c>
      <c r="F312" s="47">
        <f>16.3*1.04</f>
        <v>16.952</v>
      </c>
      <c r="G312" s="47">
        <f>E312*F312</f>
        <v>198.3384</v>
      </c>
      <c r="H312" s="40">
        <f>I312/(1000/G312)</f>
        <v>8427.398616</v>
      </c>
      <c r="I312" s="113">
        <v>42490</v>
      </c>
      <c r="J312" s="41">
        <f>I312-240</f>
        <v>42250</v>
      </c>
      <c r="K312" s="216"/>
    </row>
    <row r="313" spans="1:12" s="48" customFormat="1" ht="13.5" customHeight="1">
      <c r="A313" s="120"/>
      <c r="B313" s="44" t="s">
        <v>302</v>
      </c>
      <c r="C313" s="45">
        <v>48</v>
      </c>
      <c r="D313" s="36" t="s">
        <v>87</v>
      </c>
      <c r="E313" s="104" t="s">
        <v>139</v>
      </c>
      <c r="F313" s="47">
        <f>16.3*1.04</f>
        <v>16.952</v>
      </c>
      <c r="G313" s="47">
        <f>E313*F313</f>
        <v>203.42400000000004</v>
      </c>
      <c r="H313" s="40">
        <f>I313/(1000/G313)</f>
        <v>12915.389760000004</v>
      </c>
      <c r="I313" s="113">
        <v>63490</v>
      </c>
      <c r="J313" s="41"/>
      <c r="K313" s="216"/>
      <c r="L313" s="48">
        <v>280</v>
      </c>
    </row>
    <row r="314" spans="1:11" s="48" customFormat="1" ht="13.5" customHeight="1" hidden="1">
      <c r="A314" s="120"/>
      <c r="B314" s="44" t="s">
        <v>303</v>
      </c>
      <c r="C314" s="45">
        <v>51</v>
      </c>
      <c r="D314" s="36" t="s">
        <v>87</v>
      </c>
      <c r="E314" s="104" t="s">
        <v>48</v>
      </c>
      <c r="F314" s="47">
        <f>18.4*1.04</f>
        <v>19.136</v>
      </c>
      <c r="G314" s="47"/>
      <c r="H314" s="40"/>
      <c r="I314" s="113">
        <v>31750</v>
      </c>
      <c r="J314" s="41">
        <f>I314-240</f>
        <v>31510</v>
      </c>
      <c r="K314" s="197"/>
    </row>
    <row r="315" spans="1:11" s="48" customFormat="1" ht="13.5" customHeight="1" hidden="1">
      <c r="A315" s="120"/>
      <c r="B315" s="44" t="s">
        <v>304</v>
      </c>
      <c r="C315" s="45">
        <v>30</v>
      </c>
      <c r="D315" s="36" t="s">
        <v>87</v>
      </c>
      <c r="E315" s="104" t="s">
        <v>256</v>
      </c>
      <c r="F315" s="47">
        <f>18.4*1.04</f>
        <v>19.136</v>
      </c>
      <c r="G315" s="47">
        <f>E315*F315</f>
        <v>172.224</v>
      </c>
      <c r="H315" s="40">
        <f>I315/(1000/G315)</f>
        <v>6715.01376</v>
      </c>
      <c r="I315" s="40">
        <v>38990</v>
      </c>
      <c r="J315" s="41">
        <f>I315-240</f>
        <v>38750</v>
      </c>
      <c r="K315" s="42"/>
    </row>
    <row r="316" spans="1:11" s="48" customFormat="1" ht="13.5" customHeight="1" hidden="1">
      <c r="A316" s="120"/>
      <c r="B316" s="44" t="s">
        <v>303</v>
      </c>
      <c r="C316" s="45">
        <v>30</v>
      </c>
      <c r="D316" s="36" t="s">
        <v>87</v>
      </c>
      <c r="E316" s="104" t="s">
        <v>305</v>
      </c>
      <c r="F316" s="47">
        <f>18.4*1.04</f>
        <v>19.136</v>
      </c>
      <c r="G316" s="47">
        <f>E316*F316</f>
        <v>220.064</v>
      </c>
      <c r="H316" s="40">
        <f>I316/(1000/G316)</f>
        <v>8690.32736</v>
      </c>
      <c r="I316" s="40">
        <v>39490</v>
      </c>
      <c r="J316" s="41">
        <f>I316-240</f>
        <v>39250</v>
      </c>
      <c r="K316" s="42"/>
    </row>
    <row r="317" spans="1:12" s="48" customFormat="1" ht="13.5" customHeight="1">
      <c r="A317" s="120"/>
      <c r="B317" s="44" t="s">
        <v>306</v>
      </c>
      <c r="C317" s="45">
        <v>51</v>
      </c>
      <c r="D317" s="36" t="s">
        <v>87</v>
      </c>
      <c r="E317" s="104" t="s">
        <v>139</v>
      </c>
      <c r="F317" s="47">
        <f>18.4*1.04</f>
        <v>19.136</v>
      </c>
      <c r="G317" s="47">
        <f>E317*F317</f>
        <v>229.632</v>
      </c>
      <c r="H317" s="40">
        <f>I317/(1000/G317)</f>
        <v>13775.62368</v>
      </c>
      <c r="I317" s="40">
        <v>59990</v>
      </c>
      <c r="J317" s="41"/>
      <c r="K317" s="42"/>
      <c r="L317" s="48">
        <v>280</v>
      </c>
    </row>
    <row r="318" spans="1:11" s="48" customFormat="1" ht="13.5" customHeight="1" hidden="1">
      <c r="A318" s="120"/>
      <c r="B318" s="44" t="s">
        <v>307</v>
      </c>
      <c r="C318" s="45">
        <v>55</v>
      </c>
      <c r="D318" s="36" t="s">
        <v>87</v>
      </c>
      <c r="E318" s="104" t="s">
        <v>139</v>
      </c>
      <c r="F318" s="47">
        <f>21*1.04</f>
        <v>21.84</v>
      </c>
      <c r="G318" s="47">
        <f>E318*F318</f>
        <v>262.08</v>
      </c>
      <c r="H318" s="40">
        <f>I318/(1000/G318)</f>
        <v>14149.6992</v>
      </c>
      <c r="I318" s="40">
        <v>53990</v>
      </c>
      <c r="J318" s="41"/>
      <c r="K318" s="197"/>
    </row>
    <row r="319" spans="1:11" s="187" customFormat="1" ht="13.5" customHeight="1" hidden="1">
      <c r="A319" s="120"/>
      <c r="B319" s="223" t="s">
        <v>308</v>
      </c>
      <c r="C319" s="224">
        <v>36</v>
      </c>
      <c r="D319" s="225" t="s">
        <v>87</v>
      </c>
      <c r="E319" s="104" t="s">
        <v>48</v>
      </c>
      <c r="F319" s="47">
        <f>24*1.04</f>
        <v>24.96</v>
      </c>
      <c r="G319" s="47"/>
      <c r="H319" s="40"/>
      <c r="I319" s="40">
        <v>52990</v>
      </c>
      <c r="J319" s="41">
        <f>I319-240</f>
        <v>52750</v>
      </c>
      <c r="K319" s="226"/>
    </row>
    <row r="320" spans="1:252" s="187" customFormat="1" ht="13.5" customHeight="1" hidden="1">
      <c r="A320" s="120"/>
      <c r="B320" s="227" t="s">
        <v>308</v>
      </c>
      <c r="C320" s="224">
        <v>36</v>
      </c>
      <c r="D320" s="228" t="s">
        <v>87</v>
      </c>
      <c r="E320" s="104" t="s">
        <v>309</v>
      </c>
      <c r="F320" s="206">
        <f>24*1.04</f>
        <v>24.96</v>
      </c>
      <c r="G320" s="47">
        <f>E320*F320*1.04</f>
        <v>285.5424</v>
      </c>
      <c r="H320" s="40">
        <f>I320/(1000/G320)</f>
        <v>15130.891775999999</v>
      </c>
      <c r="I320" s="40">
        <v>52990</v>
      </c>
      <c r="J320" s="41">
        <f>I320-240</f>
        <v>52750</v>
      </c>
      <c r="K320" s="197"/>
      <c r="GM320" s="229"/>
      <c r="GN320" s="229"/>
      <c r="GO320" s="229"/>
      <c r="GP320" s="229"/>
      <c r="GQ320" s="229"/>
      <c r="GR320" s="229"/>
      <c r="GS320" s="229"/>
      <c r="GT320" s="229"/>
      <c r="GU320" s="229"/>
      <c r="GV320" s="229"/>
      <c r="GW320" s="229"/>
      <c r="GX320" s="229"/>
      <c r="GY320" s="229"/>
      <c r="GZ320" s="229"/>
      <c r="HA320" s="229"/>
      <c r="HB320" s="229"/>
      <c r="HC320" s="229"/>
      <c r="HD320" s="229"/>
      <c r="HE320" s="229"/>
      <c r="HF320" s="229"/>
      <c r="HG320" s="229"/>
      <c r="HH320" s="229"/>
      <c r="HI320" s="229"/>
      <c r="HJ320" s="229"/>
      <c r="HK320" s="229"/>
      <c r="HL320" s="229"/>
      <c r="HM320" s="229"/>
      <c r="HN320" s="229"/>
      <c r="HO320" s="229"/>
      <c r="HP320" s="229"/>
      <c r="HQ320" s="229"/>
      <c r="HR320" s="229"/>
      <c r="HS320" s="229"/>
      <c r="HT320" s="229"/>
      <c r="HU320" s="229"/>
      <c r="HV320" s="229"/>
      <c r="HW320" s="229"/>
      <c r="HX320" s="229"/>
      <c r="HY320" s="229"/>
      <c r="HZ320" s="229"/>
      <c r="IA320" s="229"/>
      <c r="IB320" s="229"/>
      <c r="IC320" s="229"/>
      <c r="ID320" s="229"/>
      <c r="IE320" s="229"/>
      <c r="IF320" s="229"/>
      <c r="IG320" s="229"/>
      <c r="IH320" s="229"/>
      <c r="II320" s="229"/>
      <c r="IJ320" s="229"/>
      <c r="IK320" s="229"/>
      <c r="IL320" s="229"/>
      <c r="IM320" s="229"/>
      <c r="IN320" s="229"/>
      <c r="IO320" s="229"/>
      <c r="IP320" s="229"/>
      <c r="IQ320" s="229"/>
      <c r="IR320" s="229"/>
    </row>
    <row r="321" spans="1:252" s="187" customFormat="1" ht="13.5" customHeight="1">
      <c r="A321" s="120"/>
      <c r="B321" s="227" t="s">
        <v>310</v>
      </c>
      <c r="C321" s="224">
        <v>65</v>
      </c>
      <c r="D321" s="228" t="s">
        <v>87</v>
      </c>
      <c r="E321" s="104" t="s">
        <v>139</v>
      </c>
      <c r="F321" s="206">
        <f>24*1.04</f>
        <v>24.96</v>
      </c>
      <c r="G321" s="47">
        <f>E321*F321</f>
        <v>299.52</v>
      </c>
      <c r="H321" s="40">
        <f>I321/(1000/G321)</f>
        <v>23060.0448</v>
      </c>
      <c r="I321" s="40">
        <v>76990</v>
      </c>
      <c r="J321" s="41"/>
      <c r="K321" s="197"/>
      <c r="L321" s="187">
        <v>280</v>
      </c>
      <c r="GM321" s="229"/>
      <c r="GN321" s="229"/>
      <c r="GO321" s="229"/>
      <c r="GP321" s="229"/>
      <c r="GQ321" s="229"/>
      <c r="GR321" s="229"/>
      <c r="GS321" s="229"/>
      <c r="GT321" s="229"/>
      <c r="GU321" s="229"/>
      <c r="GV321" s="229"/>
      <c r="GW321" s="229"/>
      <c r="GX321" s="229"/>
      <c r="GY321" s="229"/>
      <c r="GZ321" s="229"/>
      <c r="HA321" s="229"/>
      <c r="HB321" s="229"/>
      <c r="HC321" s="229"/>
      <c r="HD321" s="229"/>
      <c r="HE321" s="229"/>
      <c r="HF321" s="229"/>
      <c r="HG321" s="229"/>
      <c r="HH321" s="229"/>
      <c r="HI321" s="229"/>
      <c r="HJ321" s="229"/>
      <c r="HK321" s="229"/>
      <c r="HL321" s="229"/>
      <c r="HM321" s="229"/>
      <c r="HN321" s="229"/>
      <c r="HO321" s="229"/>
      <c r="HP321" s="229"/>
      <c r="HQ321" s="229"/>
      <c r="HR321" s="229"/>
      <c r="HS321" s="229"/>
      <c r="HT321" s="229"/>
      <c r="HU321" s="229"/>
      <c r="HV321" s="229"/>
      <c r="HW321" s="229"/>
      <c r="HX321" s="229"/>
      <c r="HY321" s="229"/>
      <c r="HZ321" s="229"/>
      <c r="IA321" s="229"/>
      <c r="IB321" s="229"/>
      <c r="IC321" s="229"/>
      <c r="ID321" s="229"/>
      <c r="IE321" s="229"/>
      <c r="IF321" s="229"/>
      <c r="IG321" s="229"/>
      <c r="IH321" s="229"/>
      <c r="II321" s="229"/>
      <c r="IJ321" s="229"/>
      <c r="IK321" s="229"/>
      <c r="IL321" s="229"/>
      <c r="IM321" s="229"/>
      <c r="IN321" s="229"/>
      <c r="IO321" s="229"/>
      <c r="IP321" s="229"/>
      <c r="IQ321" s="229"/>
      <c r="IR321" s="229"/>
    </row>
    <row r="322" spans="1:252" s="187" customFormat="1" ht="13.5" customHeight="1" hidden="1">
      <c r="A322" s="122"/>
      <c r="B322" s="227" t="s">
        <v>311</v>
      </c>
      <c r="C322" s="224">
        <v>78</v>
      </c>
      <c r="D322" s="230" t="s">
        <v>87</v>
      </c>
      <c r="E322" s="104" t="s">
        <v>48</v>
      </c>
      <c r="F322" s="206">
        <v>29.04</v>
      </c>
      <c r="G322" s="47"/>
      <c r="H322" s="40"/>
      <c r="I322" s="40">
        <v>52990</v>
      </c>
      <c r="J322" s="41"/>
      <c r="K322" s="197"/>
      <c r="GM322" s="229"/>
      <c r="GN322" s="229"/>
      <c r="GO322" s="229"/>
      <c r="GP322" s="229"/>
      <c r="GQ322" s="229"/>
      <c r="GR322" s="229"/>
      <c r="GS322" s="229"/>
      <c r="GT322" s="229"/>
      <c r="GU322" s="229"/>
      <c r="GV322" s="229"/>
      <c r="GW322" s="229"/>
      <c r="GX322" s="229"/>
      <c r="GY322" s="229"/>
      <c r="GZ322" s="229"/>
      <c r="HA322" s="229"/>
      <c r="HB322" s="229"/>
      <c r="HC322" s="229"/>
      <c r="HD322" s="229"/>
      <c r="HE322" s="229"/>
      <c r="HF322" s="229"/>
      <c r="HG322" s="229"/>
      <c r="HH322" s="229"/>
      <c r="HI322" s="229"/>
      <c r="HJ322" s="229"/>
      <c r="HK322" s="229"/>
      <c r="HL322" s="229"/>
      <c r="HM322" s="229"/>
      <c r="HN322" s="229"/>
      <c r="HO322" s="229"/>
      <c r="HP322" s="229"/>
      <c r="HQ322" s="229"/>
      <c r="HR322" s="229"/>
      <c r="HS322" s="229"/>
      <c r="HT322" s="229"/>
      <c r="HU322" s="229"/>
      <c r="HV322" s="229"/>
      <c r="HW322" s="229"/>
      <c r="HX322" s="229"/>
      <c r="HY322" s="229"/>
      <c r="HZ322" s="229"/>
      <c r="IA322" s="229"/>
      <c r="IB322" s="229"/>
      <c r="IC322" s="229"/>
      <c r="ID322" s="229"/>
      <c r="IE322" s="229"/>
      <c r="IF322" s="229"/>
      <c r="IG322" s="229"/>
      <c r="IH322" s="229"/>
      <c r="II322" s="229"/>
      <c r="IJ322" s="229"/>
      <c r="IK322" s="229"/>
      <c r="IL322" s="229"/>
      <c r="IM322" s="229"/>
      <c r="IN322" s="229"/>
      <c r="IO322" s="229"/>
      <c r="IP322" s="229"/>
      <c r="IQ322" s="229"/>
      <c r="IR322" s="229"/>
    </row>
    <row r="323" spans="1:252" s="187" customFormat="1" ht="13.5" customHeight="1" hidden="1">
      <c r="A323" s="122"/>
      <c r="B323" s="227" t="s">
        <v>311</v>
      </c>
      <c r="C323" s="224">
        <v>78</v>
      </c>
      <c r="D323" s="230" t="s">
        <v>87</v>
      </c>
      <c r="E323" s="104" t="s">
        <v>139</v>
      </c>
      <c r="F323" s="206">
        <f>27.92*1.04</f>
        <v>29.036800000000003</v>
      </c>
      <c r="G323" s="47">
        <f>E323*F323</f>
        <v>348.44160000000005</v>
      </c>
      <c r="H323" s="40">
        <f>I323/(1000/G323)</f>
        <v>19160.803584</v>
      </c>
      <c r="I323" s="40">
        <v>54990</v>
      </c>
      <c r="J323" s="41"/>
      <c r="K323" s="197"/>
      <c r="Q323" s="48"/>
      <c r="GM323" s="229"/>
      <c r="GN323" s="229"/>
      <c r="GO323" s="229"/>
      <c r="GP323" s="229"/>
      <c r="GQ323" s="229"/>
      <c r="GR323" s="229"/>
      <c r="GS323" s="229"/>
      <c r="GT323" s="229"/>
      <c r="GU323" s="229"/>
      <c r="GV323" s="229"/>
      <c r="GW323" s="229"/>
      <c r="GX323" s="229"/>
      <c r="GY323" s="229"/>
      <c r="GZ323" s="229"/>
      <c r="HA323" s="229"/>
      <c r="HB323" s="229"/>
      <c r="HC323" s="229"/>
      <c r="HD323" s="229"/>
      <c r="HE323" s="229"/>
      <c r="HF323" s="229"/>
      <c r="HG323" s="229"/>
      <c r="HH323" s="229"/>
      <c r="HI323" s="229"/>
      <c r="HJ323" s="229"/>
      <c r="HK323" s="229"/>
      <c r="HL323" s="229"/>
      <c r="HM323" s="229"/>
      <c r="HN323" s="229"/>
      <c r="HO323" s="229"/>
      <c r="HP323" s="229"/>
      <c r="HQ323" s="229"/>
      <c r="HR323" s="229"/>
      <c r="HS323" s="229"/>
      <c r="HT323" s="229"/>
      <c r="HU323" s="229"/>
      <c r="HV323" s="229"/>
      <c r="HW323" s="229"/>
      <c r="HX323" s="229"/>
      <c r="HY323" s="229"/>
      <c r="HZ323" s="229"/>
      <c r="IA323" s="229"/>
      <c r="IB323" s="229"/>
      <c r="IC323" s="229"/>
      <c r="ID323" s="229"/>
      <c r="IE323" s="229"/>
      <c r="IF323" s="229"/>
      <c r="IG323" s="229"/>
      <c r="IH323" s="229"/>
      <c r="II323" s="229"/>
      <c r="IJ323" s="229"/>
      <c r="IK323" s="229"/>
      <c r="IL323" s="229"/>
      <c r="IM323" s="229"/>
      <c r="IN323" s="229"/>
      <c r="IO323" s="229"/>
      <c r="IP323" s="229"/>
      <c r="IQ323" s="229"/>
      <c r="IR323" s="229"/>
    </row>
    <row r="324" spans="1:252" s="187" customFormat="1" ht="13.5" customHeight="1" hidden="1">
      <c r="A324" s="120"/>
      <c r="B324" s="227" t="s">
        <v>312</v>
      </c>
      <c r="C324" s="224">
        <v>92</v>
      </c>
      <c r="D324" s="230" t="s">
        <v>87</v>
      </c>
      <c r="E324" s="104" t="s">
        <v>256</v>
      </c>
      <c r="F324" s="206">
        <f>31.8*1.04</f>
        <v>33.072</v>
      </c>
      <c r="G324" s="47">
        <f>E324*F324</f>
        <v>297.648</v>
      </c>
      <c r="H324" s="40">
        <f>I324/(1000/G324)</f>
        <v>15772.36752</v>
      </c>
      <c r="I324" s="40">
        <v>52990</v>
      </c>
      <c r="J324" s="41">
        <f>I324-260</f>
        <v>52730</v>
      </c>
      <c r="K324" s="197"/>
      <c r="GM324" s="229"/>
      <c r="GN324" s="229"/>
      <c r="GO324" s="229"/>
      <c r="GP324" s="229"/>
      <c r="GQ324" s="229"/>
      <c r="GR324" s="229"/>
      <c r="GS324" s="229"/>
      <c r="GT324" s="229"/>
      <c r="GU324" s="229"/>
      <c r="GV324" s="229"/>
      <c r="GW324" s="229"/>
      <c r="GX324" s="229"/>
      <c r="GY324" s="229"/>
      <c r="GZ324" s="229"/>
      <c r="HA324" s="229"/>
      <c r="HB324" s="229"/>
      <c r="HC324" s="229"/>
      <c r="HD324" s="229"/>
      <c r="HE324" s="229"/>
      <c r="HF324" s="229"/>
      <c r="HG324" s="229"/>
      <c r="HH324" s="229"/>
      <c r="HI324" s="229"/>
      <c r="HJ324" s="229"/>
      <c r="HK324" s="229"/>
      <c r="HL324" s="229"/>
      <c r="HM324" s="229"/>
      <c r="HN324" s="229"/>
      <c r="HO324" s="229"/>
      <c r="HP324" s="229"/>
      <c r="HQ324" s="229"/>
      <c r="HR324" s="229"/>
      <c r="HS324" s="229"/>
      <c r="HT324" s="229"/>
      <c r="HU324" s="229"/>
      <c r="HV324" s="229"/>
      <c r="HW324" s="229"/>
      <c r="HX324" s="229"/>
      <c r="HY324" s="229"/>
      <c r="HZ324" s="229"/>
      <c r="IA324" s="229"/>
      <c r="IB324" s="229"/>
      <c r="IC324" s="229"/>
      <c r="ID324" s="229"/>
      <c r="IE324" s="229"/>
      <c r="IF324" s="229"/>
      <c r="IG324" s="229"/>
      <c r="IH324" s="229"/>
      <c r="II324" s="229"/>
      <c r="IJ324" s="229"/>
      <c r="IK324" s="229"/>
      <c r="IL324" s="229"/>
      <c r="IM324" s="229"/>
      <c r="IN324" s="229"/>
      <c r="IO324" s="229"/>
      <c r="IP324" s="229"/>
      <c r="IQ324" s="229"/>
      <c r="IR324" s="229"/>
    </row>
    <row r="325" spans="1:252" s="187" customFormat="1" ht="13.5" customHeight="1" hidden="1">
      <c r="A325" s="120"/>
      <c r="B325" s="227" t="s">
        <v>313</v>
      </c>
      <c r="C325" s="224">
        <v>92</v>
      </c>
      <c r="D325" s="230" t="s">
        <v>87</v>
      </c>
      <c r="E325" s="104" t="s">
        <v>139</v>
      </c>
      <c r="F325" s="206">
        <f>31.8*1.04</f>
        <v>33.072</v>
      </c>
      <c r="G325" s="47">
        <f>E325*F325</f>
        <v>396.86400000000003</v>
      </c>
      <c r="H325" s="40">
        <f>I325/(1000/G325)</f>
        <v>30554.55936</v>
      </c>
      <c r="I325" s="40">
        <v>76990</v>
      </c>
      <c r="J325" s="41"/>
      <c r="K325" s="197"/>
      <c r="Q325"/>
      <c r="GM325" s="229"/>
      <c r="GN325" s="229"/>
      <c r="GO325" s="229"/>
      <c r="GP325" s="229"/>
      <c r="GQ325" s="229"/>
      <c r="GR325" s="229"/>
      <c r="GS325" s="229"/>
      <c r="GT325" s="229"/>
      <c r="GU325" s="229"/>
      <c r="GV325" s="229"/>
      <c r="GW325" s="229"/>
      <c r="GX325" s="229"/>
      <c r="GY325" s="229"/>
      <c r="GZ325" s="229"/>
      <c r="HA325" s="229"/>
      <c r="HB325" s="229"/>
      <c r="HC325" s="229"/>
      <c r="HD325" s="229"/>
      <c r="HE325" s="229"/>
      <c r="HF325" s="229"/>
      <c r="HG325" s="229"/>
      <c r="HH325" s="229"/>
      <c r="HI325" s="229"/>
      <c r="HJ325" s="229"/>
      <c r="HK325" s="229"/>
      <c r="HL325" s="229"/>
      <c r="HM325" s="229"/>
      <c r="HN325" s="229"/>
      <c r="HO325" s="229"/>
      <c r="HP325" s="229"/>
      <c r="HQ325" s="229"/>
      <c r="HR325" s="229"/>
      <c r="HS325" s="229"/>
      <c r="HT325" s="229"/>
      <c r="HU325" s="229"/>
      <c r="HV325" s="229"/>
      <c r="HW325" s="229"/>
      <c r="HX325" s="229"/>
      <c r="HY325" s="229"/>
      <c r="HZ325" s="229"/>
      <c r="IA325" s="229"/>
      <c r="IB325" s="229"/>
      <c r="IC325" s="229"/>
      <c r="ID325" s="229"/>
      <c r="IE325" s="229"/>
      <c r="IF325" s="229"/>
      <c r="IG325" s="229"/>
      <c r="IH325" s="229"/>
      <c r="II325" s="229"/>
      <c r="IJ325" s="229"/>
      <c r="IK325" s="229"/>
      <c r="IL325" s="229"/>
      <c r="IM325" s="229"/>
      <c r="IN325" s="229"/>
      <c r="IO325" s="229"/>
      <c r="IP325" s="229"/>
      <c r="IQ325" s="229"/>
      <c r="IR325" s="229"/>
    </row>
    <row r="326" spans="1:252" s="187" customFormat="1" ht="13.5" customHeight="1" hidden="1">
      <c r="A326" s="120"/>
      <c r="B326" s="231" t="s">
        <v>314</v>
      </c>
      <c r="C326" s="232">
        <v>105</v>
      </c>
      <c r="D326" s="233" t="s">
        <v>87</v>
      </c>
      <c r="E326" s="234">
        <v>4.5</v>
      </c>
      <c r="F326" s="212">
        <v>48.3</v>
      </c>
      <c r="G326" s="212">
        <f>E326*F326*1.04</f>
        <v>226.044</v>
      </c>
      <c r="H326" s="113">
        <f>I326/(1000/G326)</f>
        <v>9098.271</v>
      </c>
      <c r="I326" s="40">
        <v>40250</v>
      </c>
      <c r="J326" s="113"/>
      <c r="K326" s="210"/>
      <c r="Q326"/>
      <c r="GM326" s="229"/>
      <c r="GN326" s="229"/>
      <c r="GO326" s="229"/>
      <c r="GP326" s="229"/>
      <c r="GQ326" s="229"/>
      <c r="GR326" s="229"/>
      <c r="GS326" s="229"/>
      <c r="GT326" s="229"/>
      <c r="GU326" s="229"/>
      <c r="GV326" s="229"/>
      <c r="GW326" s="229"/>
      <c r="GX326" s="229"/>
      <c r="GY326" s="229"/>
      <c r="GZ326" s="229"/>
      <c r="HA326" s="229"/>
      <c r="HB326" s="229"/>
      <c r="HC326" s="229"/>
      <c r="HD326" s="229"/>
      <c r="HE326" s="229"/>
      <c r="HF326" s="229"/>
      <c r="HG326" s="229"/>
      <c r="HH326" s="229"/>
      <c r="HI326" s="229"/>
      <c r="HJ326" s="229"/>
      <c r="HK326" s="229"/>
      <c r="HL326" s="229"/>
      <c r="HM326" s="229"/>
      <c r="HN326" s="229"/>
      <c r="HO326" s="229"/>
      <c r="HP326" s="229"/>
      <c r="HQ326" s="229"/>
      <c r="HR326" s="229"/>
      <c r="HS326" s="229"/>
      <c r="HT326" s="229"/>
      <c r="HU326" s="229"/>
      <c r="HV326" s="229"/>
      <c r="HW326" s="229"/>
      <c r="HX326" s="229"/>
      <c r="HY326" s="229"/>
      <c r="HZ326" s="229"/>
      <c r="IA326" s="229"/>
      <c r="IB326" s="229"/>
      <c r="IC326" s="229"/>
      <c r="ID326" s="229"/>
      <c r="IE326" s="229"/>
      <c r="IF326" s="229"/>
      <c r="IG326" s="229"/>
      <c r="IH326" s="229"/>
      <c r="II326" s="229"/>
      <c r="IJ326" s="229"/>
      <c r="IK326" s="229"/>
      <c r="IL326" s="229"/>
      <c r="IM326" s="229"/>
      <c r="IN326" s="229"/>
      <c r="IO326" s="229"/>
      <c r="IP326" s="229"/>
      <c r="IQ326" s="229"/>
      <c r="IR326" s="229"/>
    </row>
    <row r="327" spans="1:17" s="48" customFormat="1" ht="21" customHeight="1">
      <c r="A327" s="235"/>
      <c r="B327" s="28" t="s">
        <v>315</v>
      </c>
      <c r="C327" s="30"/>
      <c r="D327" s="30"/>
      <c r="E327" s="30"/>
      <c r="F327" s="30"/>
      <c r="G327" s="30"/>
      <c r="H327" s="30"/>
      <c r="I327" s="30"/>
      <c r="J327" s="30"/>
      <c r="K327" s="66"/>
      <c r="L327" s="48">
        <v>281</v>
      </c>
      <c r="Q327"/>
    </row>
    <row r="328" spans="1:11" s="48" customFormat="1" ht="13.5" customHeight="1" hidden="1">
      <c r="A328" s="235"/>
      <c r="B328" s="76" t="s">
        <v>316</v>
      </c>
      <c r="C328" s="69">
        <v>5</v>
      </c>
      <c r="D328" s="37" t="s">
        <v>85</v>
      </c>
      <c r="E328" s="205" t="s">
        <v>317</v>
      </c>
      <c r="F328" s="38">
        <v>1.52</v>
      </c>
      <c r="G328" s="38"/>
      <c r="H328" s="40"/>
      <c r="I328" s="236">
        <v>23490</v>
      </c>
      <c r="J328" s="41"/>
      <c r="K328" s="207"/>
    </row>
    <row r="329" spans="1:12" s="48" customFormat="1" ht="13.5" customHeight="1">
      <c r="A329" s="235"/>
      <c r="B329" s="44" t="s">
        <v>316</v>
      </c>
      <c r="C329" s="45">
        <v>8</v>
      </c>
      <c r="D329" s="37"/>
      <c r="E329" s="46">
        <v>6</v>
      </c>
      <c r="F329" s="47">
        <f>1.46*1.03</f>
        <v>1.5038</v>
      </c>
      <c r="G329" s="47">
        <f aca="true" t="shared" si="18" ref="G329:G339">E329*F329</f>
        <v>9.0228</v>
      </c>
      <c r="H329" s="40">
        <f aca="true" t="shared" si="19" ref="H329:H339">I329/(1000/G329)</f>
        <v>451.04977199999996</v>
      </c>
      <c r="I329" s="40">
        <v>49990</v>
      </c>
      <c r="J329" s="41"/>
      <c r="K329" s="171"/>
      <c r="L329" s="48">
        <v>281</v>
      </c>
    </row>
    <row r="330" spans="1:11" s="48" customFormat="1" ht="13.5" customHeight="1" hidden="1">
      <c r="A330" s="235"/>
      <c r="B330" s="44" t="s">
        <v>316</v>
      </c>
      <c r="C330" s="45">
        <v>8</v>
      </c>
      <c r="D330" s="37"/>
      <c r="E330" s="46">
        <v>9</v>
      </c>
      <c r="F330" s="47">
        <f>1.46*1.03</f>
        <v>1.5038</v>
      </c>
      <c r="G330" s="47">
        <f t="shared" si="18"/>
        <v>13.5342</v>
      </c>
      <c r="H330" s="40">
        <f t="shared" si="19"/>
        <v>646.25805</v>
      </c>
      <c r="I330" s="40">
        <v>47750</v>
      </c>
      <c r="J330" s="41">
        <f>I330-260</f>
        <v>47490</v>
      </c>
      <c r="K330" s="171"/>
    </row>
    <row r="331" spans="1:11" s="48" customFormat="1" ht="13.5" customHeight="1" hidden="1">
      <c r="A331" s="235"/>
      <c r="B331" s="44" t="s">
        <v>316</v>
      </c>
      <c r="C331" s="45">
        <v>8</v>
      </c>
      <c r="D331" s="37" t="s">
        <v>85</v>
      </c>
      <c r="E331" s="46">
        <v>10</v>
      </c>
      <c r="F331" s="47">
        <f>1.46*1.03</f>
        <v>1.5038</v>
      </c>
      <c r="G331" s="47">
        <f t="shared" si="18"/>
        <v>15.038</v>
      </c>
      <c r="H331" s="40">
        <f t="shared" si="19"/>
        <v>718.0645000000001</v>
      </c>
      <c r="I331" s="40">
        <v>47750</v>
      </c>
      <c r="J331" s="41">
        <f>I331-260</f>
        <v>47490</v>
      </c>
      <c r="K331" s="197"/>
    </row>
    <row r="332" spans="1:11" s="48" customFormat="1" ht="13.5" customHeight="1" hidden="1">
      <c r="A332" s="235"/>
      <c r="B332" s="44" t="s">
        <v>316</v>
      </c>
      <c r="C332" s="45">
        <v>8</v>
      </c>
      <c r="D332" s="36" t="s">
        <v>87</v>
      </c>
      <c r="E332" s="46">
        <v>11.7</v>
      </c>
      <c r="F332" s="47">
        <f>1.46*1.03</f>
        <v>1.5038</v>
      </c>
      <c r="G332" s="47">
        <f t="shared" si="18"/>
        <v>17.594459999999998</v>
      </c>
      <c r="H332" s="40">
        <f t="shared" si="19"/>
        <v>840.135465</v>
      </c>
      <c r="I332" s="40">
        <v>47750</v>
      </c>
      <c r="J332" s="41"/>
      <c r="K332" s="209"/>
    </row>
    <row r="333" spans="1:11" s="48" customFormat="1" ht="13.5" customHeight="1" hidden="1">
      <c r="A333" s="235"/>
      <c r="B333" s="44" t="s">
        <v>318</v>
      </c>
      <c r="C333" s="45">
        <v>11</v>
      </c>
      <c r="D333" s="36" t="s">
        <v>87</v>
      </c>
      <c r="E333" s="104" t="s">
        <v>56</v>
      </c>
      <c r="F333" s="47">
        <f>1.46*1.03</f>
        <v>1.5038</v>
      </c>
      <c r="G333" s="47">
        <f t="shared" si="18"/>
        <v>9.0228</v>
      </c>
      <c r="H333" s="40">
        <f t="shared" si="19"/>
        <v>446.538372</v>
      </c>
      <c r="I333" s="40">
        <v>49490</v>
      </c>
      <c r="J333" s="41"/>
      <c r="K333" s="171"/>
    </row>
    <row r="334" spans="1:12" s="48" customFormat="1" ht="13.5" customHeight="1">
      <c r="A334" s="235"/>
      <c r="B334" s="44" t="s">
        <v>319</v>
      </c>
      <c r="C334" s="45">
        <v>11</v>
      </c>
      <c r="D334" s="36" t="s">
        <v>87</v>
      </c>
      <c r="E334" s="46">
        <v>6</v>
      </c>
      <c r="F334" s="47">
        <f>1.91*1.03</f>
        <v>1.9673</v>
      </c>
      <c r="G334" s="47">
        <f t="shared" si="18"/>
        <v>11.8038</v>
      </c>
      <c r="H334" s="40">
        <f t="shared" si="19"/>
        <v>590.071962</v>
      </c>
      <c r="I334" s="40">
        <v>49990</v>
      </c>
      <c r="J334" s="41"/>
      <c r="K334" s="184"/>
      <c r="L334" s="48">
        <v>281</v>
      </c>
    </row>
    <row r="335" spans="1:11" s="48" customFormat="1" ht="13.5" customHeight="1" hidden="1">
      <c r="A335" s="235"/>
      <c r="B335" s="44" t="s">
        <v>319</v>
      </c>
      <c r="C335" s="45">
        <v>6</v>
      </c>
      <c r="D335" s="36" t="s">
        <v>87</v>
      </c>
      <c r="E335" s="46">
        <v>9</v>
      </c>
      <c r="F335" s="47">
        <f>1.91*1.03</f>
        <v>1.9673</v>
      </c>
      <c r="G335" s="47">
        <f t="shared" si="18"/>
        <v>17.7057</v>
      </c>
      <c r="H335" s="40">
        <f t="shared" si="19"/>
        <v>849.696543</v>
      </c>
      <c r="I335" s="40">
        <v>47990</v>
      </c>
      <c r="J335" s="41">
        <f>I335-240</f>
        <v>47750</v>
      </c>
      <c r="K335" s="237"/>
    </row>
    <row r="336" spans="1:11" s="48" customFormat="1" ht="13.5" customHeight="1" hidden="1">
      <c r="A336" s="235"/>
      <c r="B336" s="44" t="s">
        <v>319</v>
      </c>
      <c r="C336" s="45">
        <v>6</v>
      </c>
      <c r="D336" s="36" t="s">
        <v>87</v>
      </c>
      <c r="E336" s="46">
        <v>10</v>
      </c>
      <c r="F336" s="47">
        <f>1.91*1.03</f>
        <v>1.9673</v>
      </c>
      <c r="G336" s="47">
        <f t="shared" si="18"/>
        <v>19.673000000000002</v>
      </c>
      <c r="H336" s="40">
        <f t="shared" si="19"/>
        <v>944.1072700000001</v>
      </c>
      <c r="I336" s="40">
        <v>47990</v>
      </c>
      <c r="J336" s="41">
        <f>I336-240</f>
        <v>47750</v>
      </c>
      <c r="K336" s="237"/>
    </row>
    <row r="337" spans="1:11" s="48" customFormat="1" ht="13.5" customHeight="1" hidden="1">
      <c r="A337" s="235"/>
      <c r="B337" s="44" t="s">
        <v>319</v>
      </c>
      <c r="C337" s="45">
        <v>11</v>
      </c>
      <c r="D337" s="36" t="s">
        <v>87</v>
      </c>
      <c r="E337" s="46">
        <v>11.7</v>
      </c>
      <c r="F337" s="47">
        <f>1.91*1.03</f>
        <v>1.9673</v>
      </c>
      <c r="G337" s="47">
        <f t="shared" si="18"/>
        <v>23.017409999999998</v>
      </c>
      <c r="H337" s="40">
        <f t="shared" si="19"/>
        <v>1104.6055059</v>
      </c>
      <c r="I337" s="40">
        <v>47990</v>
      </c>
      <c r="J337" s="41">
        <f>I337-240</f>
        <v>47750</v>
      </c>
      <c r="K337" s="171"/>
    </row>
    <row r="338" spans="1:11" s="48" customFormat="1" ht="13.5" customHeight="1" hidden="1">
      <c r="A338" s="235"/>
      <c r="B338" s="44" t="s">
        <v>320</v>
      </c>
      <c r="C338" s="45">
        <v>12</v>
      </c>
      <c r="D338" s="36" t="s">
        <v>87</v>
      </c>
      <c r="E338" s="104" t="s">
        <v>56</v>
      </c>
      <c r="F338" s="47"/>
      <c r="G338" s="47">
        <f t="shared" si="18"/>
        <v>0</v>
      </c>
      <c r="H338" s="40" t="e">
        <f t="shared" si="19"/>
        <v>#DIV/0!</v>
      </c>
      <c r="I338" s="40">
        <v>47990</v>
      </c>
      <c r="J338" s="41">
        <f>I338-240</f>
        <v>47750</v>
      </c>
      <c r="K338" s="171"/>
    </row>
    <row r="339" spans="1:11" s="48" customFormat="1" ht="13.5" customHeight="1" hidden="1">
      <c r="A339" s="235"/>
      <c r="B339" s="44" t="s">
        <v>321</v>
      </c>
      <c r="C339" s="45">
        <v>12</v>
      </c>
      <c r="D339" s="36" t="s">
        <v>87</v>
      </c>
      <c r="E339" s="104" t="s">
        <v>56</v>
      </c>
      <c r="F339" s="47">
        <f>2.1*1.03</f>
        <v>2.1630000000000003</v>
      </c>
      <c r="G339" s="47">
        <f t="shared" si="18"/>
        <v>12.978000000000002</v>
      </c>
      <c r="H339" s="40">
        <f t="shared" si="19"/>
        <v>609.83622</v>
      </c>
      <c r="I339" s="40">
        <v>46990</v>
      </c>
      <c r="J339" s="41"/>
      <c r="K339" s="171"/>
    </row>
    <row r="340" spans="1:11" s="48" customFormat="1" ht="13.5" customHeight="1" hidden="1">
      <c r="A340" s="235"/>
      <c r="B340" s="44" t="s">
        <v>322</v>
      </c>
      <c r="C340" s="45">
        <v>15</v>
      </c>
      <c r="D340" s="36" t="s">
        <v>87</v>
      </c>
      <c r="E340" s="104" t="s">
        <v>48</v>
      </c>
      <c r="F340" s="47">
        <f aca="true" t="shared" si="20" ref="F340:F345">2.42*1.03</f>
        <v>2.4926</v>
      </c>
      <c r="G340" s="47"/>
      <c r="H340" s="40"/>
      <c r="I340" s="40">
        <v>36990</v>
      </c>
      <c r="J340" s="41">
        <f>I340-240</f>
        <v>36750</v>
      </c>
      <c r="K340" s="171"/>
    </row>
    <row r="341" spans="1:11" s="50" customFormat="1" ht="13.5" customHeight="1" hidden="1">
      <c r="A341" s="238"/>
      <c r="B341" s="44" t="s">
        <v>322</v>
      </c>
      <c r="C341" s="45">
        <v>15</v>
      </c>
      <c r="D341" s="36" t="s">
        <v>87</v>
      </c>
      <c r="E341" s="46">
        <v>6</v>
      </c>
      <c r="F341" s="47">
        <f t="shared" si="20"/>
        <v>2.4926</v>
      </c>
      <c r="G341" s="47">
        <f aca="true" t="shared" si="21" ref="G341:G346">E341*F341</f>
        <v>14.9556</v>
      </c>
      <c r="H341" s="40">
        <f aca="true" t="shared" si="22" ref="H341:H346">I341/(1000/G341)</f>
        <v>669.2631</v>
      </c>
      <c r="I341" s="40">
        <v>44750</v>
      </c>
      <c r="J341" s="41"/>
      <c r="K341" s="130"/>
    </row>
    <row r="342" spans="1:11" s="48" customFormat="1" ht="13.5" customHeight="1" hidden="1">
      <c r="A342" s="235"/>
      <c r="B342" s="44" t="s">
        <v>322</v>
      </c>
      <c r="C342" s="45">
        <v>15</v>
      </c>
      <c r="D342" s="36" t="s">
        <v>87</v>
      </c>
      <c r="E342" s="46">
        <v>9</v>
      </c>
      <c r="F342" s="47">
        <f t="shared" si="20"/>
        <v>2.4926</v>
      </c>
      <c r="G342" s="47">
        <f t="shared" si="21"/>
        <v>22.4334</v>
      </c>
      <c r="H342" s="40">
        <f t="shared" si="22"/>
        <v>1003.8946499999998</v>
      </c>
      <c r="I342" s="40">
        <v>44750</v>
      </c>
      <c r="J342" s="41">
        <f>I342-240</f>
        <v>44510</v>
      </c>
      <c r="K342" s="171"/>
    </row>
    <row r="343" spans="1:11" s="48" customFormat="1" ht="13.5" customHeight="1" hidden="1">
      <c r="A343" s="235"/>
      <c r="B343" s="44" t="s">
        <v>322</v>
      </c>
      <c r="C343" s="45">
        <v>15</v>
      </c>
      <c r="D343" s="36" t="s">
        <v>87</v>
      </c>
      <c r="E343" s="46">
        <v>10</v>
      </c>
      <c r="F343" s="47">
        <f t="shared" si="20"/>
        <v>2.4926</v>
      </c>
      <c r="G343" s="47">
        <f t="shared" si="21"/>
        <v>24.926</v>
      </c>
      <c r="H343" s="40">
        <f t="shared" si="22"/>
        <v>1115.4384999999997</v>
      </c>
      <c r="I343" s="40">
        <v>44750</v>
      </c>
      <c r="J343" s="41">
        <f>I343-240</f>
        <v>44510</v>
      </c>
      <c r="K343" s="171"/>
    </row>
    <row r="344" spans="1:11" s="50" customFormat="1" ht="13.5" customHeight="1" hidden="1">
      <c r="A344" s="238"/>
      <c r="B344" s="44" t="s">
        <v>322</v>
      </c>
      <c r="C344" s="45">
        <v>15</v>
      </c>
      <c r="D344" s="36" t="s">
        <v>87</v>
      </c>
      <c r="E344" s="46">
        <v>11.7</v>
      </c>
      <c r="F344" s="47">
        <f t="shared" si="20"/>
        <v>2.4926</v>
      </c>
      <c r="G344" s="47">
        <f t="shared" si="21"/>
        <v>29.16342</v>
      </c>
      <c r="H344" s="40">
        <f t="shared" si="22"/>
        <v>1305.0630449999999</v>
      </c>
      <c r="I344" s="40">
        <v>44750</v>
      </c>
      <c r="J344" s="41">
        <f>I344-240</f>
        <v>44510</v>
      </c>
      <c r="K344" s="130"/>
    </row>
    <row r="345" spans="1:12" s="50" customFormat="1" ht="13.5" customHeight="1">
      <c r="A345" s="238"/>
      <c r="B345" s="44" t="s">
        <v>322</v>
      </c>
      <c r="C345" s="45">
        <v>15</v>
      </c>
      <c r="D345" s="36" t="s">
        <v>87</v>
      </c>
      <c r="E345" s="46">
        <v>12</v>
      </c>
      <c r="F345" s="47">
        <f t="shared" si="20"/>
        <v>2.4926</v>
      </c>
      <c r="G345" s="47">
        <f t="shared" si="21"/>
        <v>29.9112</v>
      </c>
      <c r="H345" s="40">
        <f t="shared" si="22"/>
        <v>1450.3940880000002</v>
      </c>
      <c r="I345" s="40">
        <v>48490</v>
      </c>
      <c r="J345" s="41"/>
      <c r="K345" s="130"/>
      <c r="L345" s="50">
        <v>281</v>
      </c>
    </row>
    <row r="346" spans="1:11" s="50" customFormat="1" ht="13.5" customHeight="1" hidden="1">
      <c r="A346" s="238"/>
      <c r="B346" s="44" t="s">
        <v>323</v>
      </c>
      <c r="C346" s="45">
        <v>17</v>
      </c>
      <c r="D346" s="36" t="s">
        <v>87</v>
      </c>
      <c r="E346" s="46">
        <v>12</v>
      </c>
      <c r="F346" s="47">
        <f>2.73*1.03</f>
        <v>2.8119</v>
      </c>
      <c r="G346" s="47">
        <f t="shared" si="21"/>
        <v>33.7428</v>
      </c>
      <c r="H346" s="40">
        <f t="shared" si="22"/>
        <v>1298.760372</v>
      </c>
      <c r="I346" s="40">
        <v>38490</v>
      </c>
      <c r="J346" s="41">
        <f>I346-240</f>
        <v>38250</v>
      </c>
      <c r="K346" s="130"/>
    </row>
    <row r="347" spans="1:11" s="50" customFormat="1" ht="12.75" customHeight="1" hidden="1">
      <c r="A347" s="238"/>
      <c r="B347" s="44" t="s">
        <v>324</v>
      </c>
      <c r="C347" s="45">
        <v>12</v>
      </c>
      <c r="D347" s="36" t="s">
        <v>87</v>
      </c>
      <c r="E347" s="104" t="s">
        <v>48</v>
      </c>
      <c r="F347" s="47">
        <f>3.77*1.03</f>
        <v>3.8831</v>
      </c>
      <c r="G347" s="47"/>
      <c r="H347" s="40"/>
      <c r="I347" s="40">
        <v>38490</v>
      </c>
      <c r="J347" s="41">
        <f>I347-240</f>
        <v>38250</v>
      </c>
      <c r="K347" s="130"/>
    </row>
    <row r="348" spans="1:12" s="50" customFormat="1" ht="13.5" customHeight="1">
      <c r="A348" s="238"/>
      <c r="B348" s="44" t="s">
        <v>324</v>
      </c>
      <c r="C348" s="45">
        <v>20</v>
      </c>
      <c r="D348" s="36" t="s">
        <v>87</v>
      </c>
      <c r="E348" s="104" t="s">
        <v>56</v>
      </c>
      <c r="F348" s="47">
        <f>3.77*1.03</f>
        <v>3.8831</v>
      </c>
      <c r="G348" s="47">
        <f>E348*F348</f>
        <v>23.2986</v>
      </c>
      <c r="H348" s="40">
        <f>I348/(1000/G348)</f>
        <v>1071.502614</v>
      </c>
      <c r="I348" s="40">
        <v>45990</v>
      </c>
      <c r="J348" s="41"/>
      <c r="K348" s="42"/>
      <c r="L348" s="50">
        <v>281</v>
      </c>
    </row>
    <row r="349" spans="1:11" s="50" customFormat="1" ht="13.5" customHeight="1" hidden="1">
      <c r="A349" s="238"/>
      <c r="B349" s="44" t="s">
        <v>324</v>
      </c>
      <c r="C349" s="45">
        <v>20</v>
      </c>
      <c r="D349" s="36" t="s">
        <v>87</v>
      </c>
      <c r="E349" s="104" t="s">
        <v>141</v>
      </c>
      <c r="F349" s="47">
        <f>3.77*1.03</f>
        <v>3.8831</v>
      </c>
      <c r="G349" s="47">
        <f>E349*F349</f>
        <v>45.43227</v>
      </c>
      <c r="H349" s="40">
        <f>I349/(1000/G349)</f>
        <v>1748.6880723</v>
      </c>
      <c r="I349" s="40">
        <v>38490</v>
      </c>
      <c r="J349" s="41"/>
      <c r="K349" s="42"/>
    </row>
    <row r="350" spans="1:12" s="50" customFormat="1" ht="13.5" customHeight="1">
      <c r="A350" s="238"/>
      <c r="B350" s="44" t="s">
        <v>324</v>
      </c>
      <c r="C350" s="45">
        <v>20</v>
      </c>
      <c r="D350" s="36" t="s">
        <v>87</v>
      </c>
      <c r="E350" s="104" t="s">
        <v>139</v>
      </c>
      <c r="F350" s="47">
        <f>3.77*1.03</f>
        <v>3.8831</v>
      </c>
      <c r="G350" s="47">
        <f>E350*F350</f>
        <v>46.5972</v>
      </c>
      <c r="H350" s="40">
        <f>I350/(1000/G350)</f>
        <v>2143.005228</v>
      </c>
      <c r="I350" s="40">
        <v>45990</v>
      </c>
      <c r="J350" s="41"/>
      <c r="K350" s="65"/>
      <c r="L350" s="50">
        <v>281</v>
      </c>
    </row>
    <row r="351" spans="1:11" s="50" customFormat="1" ht="13.5" customHeight="1" hidden="1">
      <c r="A351" s="238"/>
      <c r="B351" s="44" t="s">
        <v>324</v>
      </c>
      <c r="C351" s="45">
        <v>20</v>
      </c>
      <c r="D351" s="36" t="s">
        <v>87</v>
      </c>
      <c r="E351" s="104" t="s">
        <v>139</v>
      </c>
      <c r="F351" s="47">
        <f>3.77*1.03</f>
        <v>3.8831</v>
      </c>
      <c r="G351" s="47">
        <f>E351*F351</f>
        <v>46.5972</v>
      </c>
      <c r="H351" s="40">
        <f>I351/(1000/G351)</f>
        <v>2003.213628</v>
      </c>
      <c r="I351" s="40">
        <v>42990</v>
      </c>
      <c r="J351" s="41"/>
      <c r="K351" s="42"/>
    </row>
    <row r="352" spans="1:11" s="2" customFormat="1" ht="13.5" customHeight="1" hidden="1">
      <c r="A352" s="238"/>
      <c r="B352" s="44" t="s">
        <v>325</v>
      </c>
      <c r="C352" s="45">
        <v>15</v>
      </c>
      <c r="D352" s="36" t="s">
        <v>85</v>
      </c>
      <c r="E352" s="104" t="s">
        <v>48</v>
      </c>
      <c r="F352" s="47">
        <f>4.81*1.03</f>
        <v>4.9543</v>
      </c>
      <c r="G352" s="47"/>
      <c r="H352" s="40"/>
      <c r="I352" s="40">
        <v>42990</v>
      </c>
      <c r="J352" s="41"/>
      <c r="K352" s="64"/>
    </row>
    <row r="353" spans="1:11" s="2" customFormat="1" ht="13.5" customHeight="1" hidden="1">
      <c r="A353" s="238"/>
      <c r="B353" s="44" t="s">
        <v>325</v>
      </c>
      <c r="C353" s="45">
        <v>25</v>
      </c>
      <c r="D353" s="36" t="s">
        <v>87</v>
      </c>
      <c r="E353" s="104" t="s">
        <v>141</v>
      </c>
      <c r="F353" s="47">
        <f>4.81*1.03</f>
        <v>4.9543</v>
      </c>
      <c r="G353" s="47">
        <f>E353*F353</f>
        <v>57.965309999999995</v>
      </c>
      <c r="H353" s="40">
        <f>I353/(1000/G353)</f>
        <v>2491.9286768999996</v>
      </c>
      <c r="I353" s="40">
        <v>42990</v>
      </c>
      <c r="J353" s="41"/>
      <c r="K353" s="64"/>
    </row>
    <row r="354" spans="1:12" ht="13.5" customHeight="1">
      <c r="A354" s="235"/>
      <c r="B354" s="44" t="s">
        <v>325</v>
      </c>
      <c r="C354" s="45">
        <v>25</v>
      </c>
      <c r="D354" s="36" t="s">
        <v>87</v>
      </c>
      <c r="E354" s="104" t="s">
        <v>139</v>
      </c>
      <c r="F354" s="47">
        <f>4.81*1.03</f>
        <v>4.9543</v>
      </c>
      <c r="G354" s="47">
        <f>F354*E354</f>
        <v>59.4516</v>
      </c>
      <c r="H354" s="40">
        <f>I354/(1000/G354)</f>
        <v>2779.3623</v>
      </c>
      <c r="I354" s="40">
        <v>46750</v>
      </c>
      <c r="J354" s="41"/>
      <c r="K354" s="197"/>
      <c r="L354">
        <v>281</v>
      </c>
    </row>
    <row r="355" spans="1:11" ht="13.5" customHeight="1" hidden="1">
      <c r="A355" s="235"/>
      <c r="B355" s="44" t="s">
        <v>325</v>
      </c>
      <c r="C355" s="45">
        <v>15</v>
      </c>
      <c r="D355" s="36" t="s">
        <v>87</v>
      </c>
      <c r="E355" s="104" t="s">
        <v>139</v>
      </c>
      <c r="F355" s="47">
        <f>4.81*1.03</f>
        <v>4.9543</v>
      </c>
      <c r="G355" s="47">
        <f>F355*E355</f>
        <v>59.4516</v>
      </c>
      <c r="H355" s="40">
        <f>I355/(1000/G355)</f>
        <v>2555.824284</v>
      </c>
      <c r="I355" s="40">
        <v>42990</v>
      </c>
      <c r="J355" s="41"/>
      <c r="K355" s="197"/>
    </row>
    <row r="356" spans="1:11" s="2" customFormat="1" ht="13.5" customHeight="1" hidden="1">
      <c r="A356" s="238"/>
      <c r="B356" s="44" t="s">
        <v>326</v>
      </c>
      <c r="C356" s="45">
        <v>16</v>
      </c>
      <c r="D356" s="36" t="s">
        <v>87</v>
      </c>
      <c r="E356" s="104" t="s">
        <v>56</v>
      </c>
      <c r="F356" s="47">
        <f>5.72*1.03</f>
        <v>5.8915999999999995</v>
      </c>
      <c r="G356" s="47">
        <f>F356*E356</f>
        <v>35.349599999999995</v>
      </c>
      <c r="H356" s="40">
        <f>I356/(1000/G356)</f>
        <v>1519.6793039999998</v>
      </c>
      <c r="I356" s="40">
        <v>42990</v>
      </c>
      <c r="J356" s="41"/>
      <c r="K356" s="64"/>
    </row>
    <row r="357" spans="1:11" s="48" customFormat="1" ht="13.5" customHeight="1" hidden="1">
      <c r="A357" s="235"/>
      <c r="B357" s="44" t="s">
        <v>327</v>
      </c>
      <c r="C357" s="45">
        <v>30</v>
      </c>
      <c r="D357" s="36" t="s">
        <v>87</v>
      </c>
      <c r="E357" s="104" t="s">
        <v>317</v>
      </c>
      <c r="F357" s="47">
        <f>6.89*1.03</f>
        <v>7.0967</v>
      </c>
      <c r="G357" s="47"/>
      <c r="H357" s="40"/>
      <c r="I357" s="40">
        <v>42990</v>
      </c>
      <c r="J357" s="41"/>
      <c r="K357" s="239"/>
    </row>
    <row r="358" spans="1:11" s="48" customFormat="1" ht="13.5" customHeight="1" hidden="1">
      <c r="A358" s="235"/>
      <c r="B358" s="44" t="s">
        <v>328</v>
      </c>
      <c r="C358" s="45">
        <v>30</v>
      </c>
      <c r="D358" s="36" t="s">
        <v>87</v>
      </c>
      <c r="E358" s="104" t="s">
        <v>141</v>
      </c>
      <c r="F358" s="47">
        <f>5.8*1.03</f>
        <v>5.974</v>
      </c>
      <c r="G358" s="47">
        <f>F358*E358</f>
        <v>69.8958</v>
      </c>
      <c r="H358" s="40">
        <f>I358/(1000/G358)</f>
        <v>3004.8204419999997</v>
      </c>
      <c r="I358" s="40">
        <v>42990</v>
      </c>
      <c r="J358" s="41"/>
      <c r="K358" s="240"/>
    </row>
    <row r="359" spans="1:12" s="48" customFormat="1" ht="13.5" customHeight="1">
      <c r="A359" s="235"/>
      <c r="B359" s="44" t="s">
        <v>327</v>
      </c>
      <c r="C359" s="45">
        <v>30</v>
      </c>
      <c r="D359" s="36" t="s">
        <v>87</v>
      </c>
      <c r="E359" s="104" t="s">
        <v>139</v>
      </c>
      <c r="F359" s="47">
        <f>6.89*1.03</f>
        <v>7.0967</v>
      </c>
      <c r="G359" s="47">
        <f>F359*E359</f>
        <v>85.16040000000001</v>
      </c>
      <c r="H359" s="40">
        <f>I359/(1000/G359)</f>
        <v>4086.8475960000005</v>
      </c>
      <c r="I359" s="40">
        <v>47990</v>
      </c>
      <c r="J359" s="41"/>
      <c r="K359" s="63"/>
      <c r="L359" s="48">
        <v>281</v>
      </c>
    </row>
    <row r="360" spans="1:11" s="48" customFormat="1" ht="13.5" customHeight="1" hidden="1">
      <c r="A360" s="235"/>
      <c r="B360" s="44" t="s">
        <v>327</v>
      </c>
      <c r="C360" s="45">
        <v>30</v>
      </c>
      <c r="D360" s="36" t="s">
        <v>87</v>
      </c>
      <c r="E360" s="104" t="s">
        <v>139</v>
      </c>
      <c r="F360" s="47">
        <f>6.89*1.03</f>
        <v>7.0967</v>
      </c>
      <c r="G360" s="47">
        <f>F360*E360</f>
        <v>85.16040000000001</v>
      </c>
      <c r="H360" s="40">
        <f>I360/(1000/G360)</f>
        <v>3598.0269000000008</v>
      </c>
      <c r="I360" s="40">
        <v>42250</v>
      </c>
      <c r="J360" s="41"/>
      <c r="K360" s="197"/>
    </row>
    <row r="361" spans="1:11" s="75" customFormat="1" ht="13.5" customHeight="1" hidden="1">
      <c r="A361" s="235"/>
      <c r="B361" s="103" t="s">
        <v>329</v>
      </c>
      <c r="C361" s="54">
        <v>35</v>
      </c>
      <c r="D361" s="55" t="s">
        <v>87</v>
      </c>
      <c r="E361" s="101" t="s">
        <v>141</v>
      </c>
      <c r="F361" s="57">
        <f>7.36*1.03</f>
        <v>7.580800000000001</v>
      </c>
      <c r="G361" s="57">
        <f>E361*F361</f>
        <v>88.69536000000001</v>
      </c>
      <c r="H361" s="74">
        <f>I361/(1000/G361)</f>
        <v>3747.37896</v>
      </c>
      <c r="I361" s="40">
        <v>42250</v>
      </c>
      <c r="J361" s="41"/>
      <c r="K361" s="60"/>
    </row>
    <row r="362" spans="1:11" s="48" customFormat="1" ht="13.5" customHeight="1" hidden="1">
      <c r="A362" s="235"/>
      <c r="B362" s="44" t="s">
        <v>330</v>
      </c>
      <c r="C362" s="45">
        <v>40</v>
      </c>
      <c r="D362" s="36" t="s">
        <v>87</v>
      </c>
      <c r="E362" s="104" t="s">
        <v>141</v>
      </c>
      <c r="F362" s="47">
        <f>8.33*1.04</f>
        <v>8.6632</v>
      </c>
      <c r="G362" s="47">
        <f>E362*F362</f>
        <v>101.35943999999999</v>
      </c>
      <c r="H362" s="40">
        <f>I362/(1000/G362)</f>
        <v>4282.43634</v>
      </c>
      <c r="I362" s="40">
        <v>42250</v>
      </c>
      <c r="J362" s="41"/>
      <c r="K362" s="64"/>
    </row>
    <row r="363" spans="1:11" s="48" customFormat="1" ht="13.5" customHeight="1" hidden="1">
      <c r="A363" s="235"/>
      <c r="B363" s="44" t="s">
        <v>331</v>
      </c>
      <c r="C363" s="45">
        <v>40</v>
      </c>
      <c r="D363" s="36" t="s">
        <v>87</v>
      </c>
      <c r="E363" s="104" t="s">
        <v>317</v>
      </c>
      <c r="F363" s="47">
        <f>10.03*1.04</f>
        <v>10.4312</v>
      </c>
      <c r="G363" s="47"/>
      <c r="H363" s="40"/>
      <c r="I363" s="40">
        <v>42250</v>
      </c>
      <c r="J363" s="41"/>
      <c r="K363" s="64"/>
    </row>
    <row r="364" spans="1:11" s="48" customFormat="1" ht="13.5" customHeight="1" hidden="1">
      <c r="A364" s="235"/>
      <c r="B364" s="44" t="s">
        <v>331</v>
      </c>
      <c r="C364" s="45">
        <v>40</v>
      </c>
      <c r="D364" s="36" t="s">
        <v>87</v>
      </c>
      <c r="E364" s="104" t="s">
        <v>141</v>
      </c>
      <c r="F364" s="47">
        <v>10.03</v>
      </c>
      <c r="G364" s="47">
        <f>E364*F364</f>
        <v>117.35099999999998</v>
      </c>
      <c r="H364" s="40">
        <f>I364/(1000/G364)</f>
        <v>4958.079749999999</v>
      </c>
      <c r="I364" s="40">
        <v>42250</v>
      </c>
      <c r="J364" s="41"/>
      <c r="K364" s="64"/>
    </row>
    <row r="365" spans="1:11" s="48" customFormat="1" ht="13.5" customHeight="1" hidden="1">
      <c r="A365" s="235"/>
      <c r="B365" s="44" t="s">
        <v>332</v>
      </c>
      <c r="C365" s="45">
        <v>40</v>
      </c>
      <c r="D365" s="36" t="s">
        <v>87</v>
      </c>
      <c r="E365" s="104" t="s">
        <v>141</v>
      </c>
      <c r="F365" s="47">
        <f>10.93*1.03</f>
        <v>11.2579</v>
      </c>
      <c r="G365" s="47">
        <f>E365*F365</f>
        <v>131.71742999999998</v>
      </c>
      <c r="H365" s="40">
        <f>I365/(1000/G365)</f>
        <v>5565.061417499999</v>
      </c>
      <c r="I365" s="40">
        <v>42250</v>
      </c>
      <c r="J365" s="41"/>
      <c r="K365" s="64"/>
    </row>
    <row r="366" spans="1:11" s="48" customFormat="1" ht="13.5" customHeight="1" hidden="1">
      <c r="A366" s="235"/>
      <c r="B366" s="44" t="s">
        <v>333</v>
      </c>
      <c r="C366" s="45">
        <v>45</v>
      </c>
      <c r="D366" s="36" t="s">
        <v>87</v>
      </c>
      <c r="E366" s="104" t="s">
        <v>48</v>
      </c>
      <c r="F366" s="47">
        <f>10.8*1.03</f>
        <v>11.124</v>
      </c>
      <c r="G366" s="47"/>
      <c r="H366" s="40"/>
      <c r="I366" s="40">
        <v>42250</v>
      </c>
      <c r="J366" s="41"/>
      <c r="K366" s="42"/>
    </row>
    <row r="367" spans="1:11" s="48" customFormat="1" ht="13.5" customHeight="1" hidden="1">
      <c r="A367" s="235"/>
      <c r="B367" s="44" t="s">
        <v>333</v>
      </c>
      <c r="C367" s="45">
        <v>45</v>
      </c>
      <c r="D367" s="36" t="s">
        <v>87</v>
      </c>
      <c r="E367" s="104" t="s">
        <v>56</v>
      </c>
      <c r="F367" s="47">
        <f>10.8*1.03</f>
        <v>11.124</v>
      </c>
      <c r="G367" s="47">
        <f>E367*F367</f>
        <v>66.744</v>
      </c>
      <c r="H367" s="40">
        <f>I367/(1000/G367)</f>
        <v>2819.9339999999997</v>
      </c>
      <c r="I367" s="40">
        <v>42250</v>
      </c>
      <c r="J367" s="41"/>
      <c r="K367" s="64"/>
    </row>
    <row r="368" spans="1:11" s="48" customFormat="1" ht="13.5" customHeight="1" hidden="1">
      <c r="A368" s="235"/>
      <c r="B368" s="44" t="s">
        <v>333</v>
      </c>
      <c r="C368" s="45">
        <v>45</v>
      </c>
      <c r="D368" s="36" t="s">
        <v>87</v>
      </c>
      <c r="E368" s="104" t="s">
        <v>141</v>
      </c>
      <c r="F368" s="47">
        <f>10.8*1.03</f>
        <v>11.124</v>
      </c>
      <c r="G368" s="47">
        <f>E368*F368</f>
        <v>130.1508</v>
      </c>
      <c r="H368" s="40">
        <f>I368/(1000/G368)</f>
        <v>5498.8713</v>
      </c>
      <c r="I368" s="40">
        <v>42250</v>
      </c>
      <c r="J368" s="41"/>
      <c r="K368" s="42"/>
    </row>
    <row r="369" spans="1:12" s="50" customFormat="1" ht="13.5" customHeight="1">
      <c r="A369" s="238"/>
      <c r="B369" s="44" t="s">
        <v>333</v>
      </c>
      <c r="C369" s="45">
        <v>45</v>
      </c>
      <c r="D369" s="36" t="s">
        <v>87</v>
      </c>
      <c r="E369" s="104" t="s">
        <v>139</v>
      </c>
      <c r="F369" s="47">
        <f>10.8*1.03</f>
        <v>11.124</v>
      </c>
      <c r="G369" s="47">
        <f>E369*F369</f>
        <v>133.488</v>
      </c>
      <c r="H369" s="40">
        <f>I369/(1000/G369)</f>
        <v>6406.08912</v>
      </c>
      <c r="I369" s="40">
        <v>47990</v>
      </c>
      <c r="J369" s="41"/>
      <c r="K369" s="42"/>
      <c r="L369" s="50">
        <v>281</v>
      </c>
    </row>
    <row r="370" spans="1:11" s="48" customFormat="1" ht="13.5" customHeight="1" hidden="1">
      <c r="A370" s="235"/>
      <c r="B370" s="44" t="s">
        <v>334</v>
      </c>
      <c r="C370" s="45">
        <v>45</v>
      </c>
      <c r="D370" s="36" t="s">
        <v>87</v>
      </c>
      <c r="E370" s="104" t="s">
        <v>48</v>
      </c>
      <c r="F370" s="47">
        <f>12.2*1.03</f>
        <v>12.565999999999999</v>
      </c>
      <c r="G370" s="47"/>
      <c r="H370" s="40"/>
      <c r="I370" s="40">
        <v>42990</v>
      </c>
      <c r="J370" s="41"/>
      <c r="K370" s="64"/>
    </row>
    <row r="371" spans="1:11" s="48" customFormat="1" ht="13.5" customHeight="1" hidden="1">
      <c r="A371" s="235"/>
      <c r="B371" s="44" t="s">
        <v>334</v>
      </c>
      <c r="C371" s="45">
        <v>45</v>
      </c>
      <c r="D371" s="36" t="s">
        <v>87</v>
      </c>
      <c r="E371" s="104" t="s">
        <v>56</v>
      </c>
      <c r="F371" s="47">
        <f>12.2*1.03</f>
        <v>12.565999999999999</v>
      </c>
      <c r="G371" s="47">
        <f>E371*F371</f>
        <v>75.39599999999999</v>
      </c>
      <c r="H371" s="40">
        <f>I371/(1000/G371)</f>
        <v>3241.2740399999993</v>
      </c>
      <c r="I371" s="40">
        <v>42990</v>
      </c>
      <c r="J371" s="41"/>
      <c r="K371" s="64"/>
    </row>
    <row r="372" spans="1:11" s="48" customFormat="1" ht="13.5" customHeight="1" hidden="1">
      <c r="A372" s="235"/>
      <c r="B372" s="44" t="s">
        <v>334</v>
      </c>
      <c r="C372" s="45">
        <v>45</v>
      </c>
      <c r="D372" s="36" t="s">
        <v>87</v>
      </c>
      <c r="E372" s="104" t="s">
        <v>141</v>
      </c>
      <c r="F372" s="47">
        <f>12.25*1.03</f>
        <v>12.6175</v>
      </c>
      <c r="G372" s="47">
        <f>E372*F372</f>
        <v>147.62474999999998</v>
      </c>
      <c r="H372" s="40">
        <f>I372/(1000/G372)</f>
        <v>6346.388002499999</v>
      </c>
      <c r="I372" s="40">
        <v>42990</v>
      </c>
      <c r="J372" s="41"/>
      <c r="K372" s="64"/>
    </row>
    <row r="373" spans="1:11" s="48" customFormat="1" ht="13.5" customHeight="1" hidden="1">
      <c r="A373" s="235"/>
      <c r="B373" s="44" t="s">
        <v>334</v>
      </c>
      <c r="C373" s="45">
        <v>45</v>
      </c>
      <c r="D373" s="36" t="s">
        <v>87</v>
      </c>
      <c r="E373" s="104" t="s">
        <v>139</v>
      </c>
      <c r="F373" s="47">
        <f>12.25*1.03</f>
        <v>12.6175</v>
      </c>
      <c r="G373" s="47">
        <f>E373*F373</f>
        <v>151.41</v>
      </c>
      <c r="H373" s="40">
        <f>I373/(1000/G373)</f>
        <v>6509.1159</v>
      </c>
      <c r="I373" s="40">
        <v>42990</v>
      </c>
      <c r="J373" s="41"/>
      <c r="K373" s="64"/>
    </row>
    <row r="374" spans="1:11" s="48" customFormat="1" ht="13.5" customHeight="1" hidden="1">
      <c r="A374" s="235"/>
      <c r="B374" s="44" t="s">
        <v>335</v>
      </c>
      <c r="C374" s="45">
        <v>45</v>
      </c>
      <c r="D374" s="36" t="s">
        <v>87</v>
      </c>
      <c r="E374" s="104" t="s">
        <v>141</v>
      </c>
      <c r="F374" s="47">
        <f>15.1*1.03</f>
        <v>15.553</v>
      </c>
      <c r="G374" s="47">
        <f>E374*F374</f>
        <v>181.9701</v>
      </c>
      <c r="H374" s="40">
        <f>I374/(1000/G374)</f>
        <v>7822.894599</v>
      </c>
      <c r="I374" s="40">
        <v>42990</v>
      </c>
      <c r="J374" s="41"/>
      <c r="K374" s="64"/>
    </row>
    <row r="375" spans="1:11" s="48" customFormat="1" ht="13.5" customHeight="1" hidden="1">
      <c r="A375" s="235"/>
      <c r="B375" s="44" t="s">
        <v>336</v>
      </c>
      <c r="C375" s="45">
        <v>50</v>
      </c>
      <c r="D375" s="36" t="s">
        <v>87</v>
      </c>
      <c r="E375" s="104" t="s">
        <v>48</v>
      </c>
      <c r="F375" s="47">
        <f aca="true" t="shared" si="23" ref="F375:F380">15.5*1.03</f>
        <v>15.965</v>
      </c>
      <c r="G375" s="47"/>
      <c r="H375" s="40"/>
      <c r="I375" s="40">
        <v>42990</v>
      </c>
      <c r="J375" s="41"/>
      <c r="K375" s="64"/>
    </row>
    <row r="376" spans="1:11" s="50" customFormat="1" ht="13.5" customHeight="1" hidden="1">
      <c r="A376" s="238"/>
      <c r="B376" s="44" t="s">
        <v>336</v>
      </c>
      <c r="C376" s="45">
        <v>50</v>
      </c>
      <c r="D376" s="36" t="s">
        <v>87</v>
      </c>
      <c r="E376" s="104" t="s">
        <v>141</v>
      </c>
      <c r="F376" s="47">
        <f t="shared" si="23"/>
        <v>15.965</v>
      </c>
      <c r="G376" s="47">
        <f aca="true" t="shared" si="24" ref="G376:G381">E376*F376</f>
        <v>186.79049999999998</v>
      </c>
      <c r="H376" s="40">
        <f aca="true" t="shared" si="25" ref="H376:H387">I376/(1000/G376)</f>
        <v>8030.123594999999</v>
      </c>
      <c r="I376" s="40">
        <v>42990</v>
      </c>
      <c r="J376" s="41"/>
      <c r="K376" s="42"/>
    </row>
    <row r="377" spans="1:12" s="50" customFormat="1" ht="13.5" customHeight="1">
      <c r="A377" s="238"/>
      <c r="B377" s="44" t="s">
        <v>336</v>
      </c>
      <c r="C377" s="45">
        <v>50</v>
      </c>
      <c r="D377" s="36" t="s">
        <v>87</v>
      </c>
      <c r="E377" s="104" t="s">
        <v>139</v>
      </c>
      <c r="F377" s="47">
        <f t="shared" si="23"/>
        <v>15.965</v>
      </c>
      <c r="G377" s="47">
        <f t="shared" si="24"/>
        <v>191.57999999999998</v>
      </c>
      <c r="H377" s="40">
        <f t="shared" si="25"/>
        <v>9577.0842</v>
      </c>
      <c r="I377" s="40">
        <v>49990</v>
      </c>
      <c r="J377" s="41"/>
      <c r="K377" s="42"/>
      <c r="L377" s="50">
        <v>281</v>
      </c>
    </row>
    <row r="378" spans="1:11" s="50" customFormat="1" ht="13.5" customHeight="1" hidden="1">
      <c r="A378" s="238"/>
      <c r="B378" s="44" t="s">
        <v>336</v>
      </c>
      <c r="C378" s="45">
        <v>50</v>
      </c>
      <c r="D378" s="36" t="s">
        <v>87</v>
      </c>
      <c r="E378" s="104" t="s">
        <v>139</v>
      </c>
      <c r="F378" s="47">
        <f t="shared" si="23"/>
        <v>15.965</v>
      </c>
      <c r="G378" s="47">
        <f t="shared" si="24"/>
        <v>191.57999999999998</v>
      </c>
      <c r="H378" s="40">
        <f t="shared" si="25"/>
        <v>6799.1741999999995</v>
      </c>
      <c r="I378" s="40">
        <v>35490</v>
      </c>
      <c r="J378" s="41">
        <f>I378-240</f>
        <v>35250</v>
      </c>
      <c r="K378" s="42"/>
    </row>
    <row r="379" spans="1:11" s="48" customFormat="1" ht="13.5" customHeight="1" hidden="1">
      <c r="A379" s="235"/>
      <c r="B379" s="44" t="s">
        <v>336</v>
      </c>
      <c r="C379" s="45">
        <v>50</v>
      </c>
      <c r="D379" s="36" t="s">
        <v>87</v>
      </c>
      <c r="E379" s="104" t="s">
        <v>139</v>
      </c>
      <c r="F379" s="47">
        <f t="shared" si="23"/>
        <v>15.965</v>
      </c>
      <c r="G379" s="47">
        <f t="shared" si="24"/>
        <v>191.57999999999998</v>
      </c>
      <c r="H379" s="40">
        <f t="shared" si="25"/>
        <v>6990.754199999999</v>
      </c>
      <c r="I379" s="40">
        <v>36490</v>
      </c>
      <c r="J379" s="41">
        <f>I379-260</f>
        <v>36230</v>
      </c>
      <c r="K379" s="64"/>
    </row>
    <row r="380" spans="1:11" s="48" customFormat="1" ht="13.5" customHeight="1" hidden="1">
      <c r="A380" s="235"/>
      <c r="B380" s="44" t="s">
        <v>336</v>
      </c>
      <c r="C380" s="45">
        <v>50</v>
      </c>
      <c r="D380" s="36" t="s">
        <v>87</v>
      </c>
      <c r="E380" s="104" t="s">
        <v>139</v>
      </c>
      <c r="F380" s="47">
        <f t="shared" si="23"/>
        <v>15.965</v>
      </c>
      <c r="G380" s="47">
        <f t="shared" si="24"/>
        <v>191.57999999999998</v>
      </c>
      <c r="H380" s="40">
        <f t="shared" si="25"/>
        <v>6990.754199999999</v>
      </c>
      <c r="I380" s="40">
        <v>36490</v>
      </c>
      <c r="J380" s="41">
        <f aca="true" t="shared" si="26" ref="J380:J385">I380-240</f>
        <v>36250</v>
      </c>
      <c r="K380" s="42"/>
    </row>
    <row r="381" spans="1:11" s="48" customFormat="1" ht="13.5" customHeight="1" hidden="1">
      <c r="A381" s="235"/>
      <c r="B381" s="44" t="s">
        <v>337</v>
      </c>
      <c r="C381" s="45">
        <v>40</v>
      </c>
      <c r="D381" s="36" t="s">
        <v>87</v>
      </c>
      <c r="E381" s="104" t="s">
        <v>141</v>
      </c>
      <c r="F381" s="47">
        <f>17.3*1.03</f>
        <v>17.819000000000003</v>
      </c>
      <c r="G381" s="47">
        <f t="shared" si="24"/>
        <v>208.4823</v>
      </c>
      <c r="H381" s="40">
        <f t="shared" si="25"/>
        <v>7607.519127</v>
      </c>
      <c r="I381" s="40">
        <v>36490</v>
      </c>
      <c r="J381" s="40">
        <f t="shared" si="26"/>
        <v>36250</v>
      </c>
      <c r="K381" s="64"/>
    </row>
    <row r="382" spans="1:11" s="48" customFormat="1" ht="13.5" customHeight="1" hidden="1">
      <c r="A382" s="235"/>
      <c r="B382" s="44" t="s">
        <v>338</v>
      </c>
      <c r="C382" s="45">
        <v>40</v>
      </c>
      <c r="D382" s="36" t="s">
        <v>87</v>
      </c>
      <c r="E382" s="104" t="s">
        <v>339</v>
      </c>
      <c r="F382" s="47">
        <v>19.1</v>
      </c>
      <c r="G382" s="47">
        <f>E382*F382*1.03</f>
        <v>204.59920000000002</v>
      </c>
      <c r="H382" s="40">
        <f t="shared" si="25"/>
        <v>7465.824808000001</v>
      </c>
      <c r="I382" s="40">
        <v>36490</v>
      </c>
      <c r="J382" s="40">
        <f t="shared" si="26"/>
        <v>36250</v>
      </c>
      <c r="K382" s="64"/>
    </row>
    <row r="383" spans="1:11" s="48" customFormat="1" ht="13.5" customHeight="1" hidden="1">
      <c r="A383" s="235"/>
      <c r="B383" s="108" t="s">
        <v>338</v>
      </c>
      <c r="C383" s="109">
        <v>40</v>
      </c>
      <c r="D383" s="117" t="s">
        <v>87</v>
      </c>
      <c r="E383" s="132" t="s">
        <v>141</v>
      </c>
      <c r="F383" s="118">
        <v>19.1</v>
      </c>
      <c r="G383" s="47">
        <f>E383*F383*1.03</f>
        <v>230.1741</v>
      </c>
      <c r="H383" s="113">
        <f t="shared" si="25"/>
        <v>7133.095359000001</v>
      </c>
      <c r="I383" s="40">
        <v>30990</v>
      </c>
      <c r="J383" s="40">
        <f t="shared" si="26"/>
        <v>30750</v>
      </c>
      <c r="K383" s="241"/>
    </row>
    <row r="384" spans="1:11" s="48" customFormat="1" ht="13.5" customHeight="1" hidden="1">
      <c r="A384" s="235"/>
      <c r="B384" s="108" t="s">
        <v>338</v>
      </c>
      <c r="C384" s="109">
        <v>40</v>
      </c>
      <c r="D384" s="117" t="s">
        <v>87</v>
      </c>
      <c r="E384" s="132" t="s">
        <v>139</v>
      </c>
      <c r="F384" s="118">
        <v>19.1</v>
      </c>
      <c r="G384" s="47">
        <f>E384*F384*1.03</f>
        <v>236.07600000000002</v>
      </c>
      <c r="H384" s="113">
        <f t="shared" si="25"/>
        <v>7315.99524</v>
      </c>
      <c r="I384" s="40">
        <v>30990</v>
      </c>
      <c r="J384" s="40">
        <f t="shared" si="26"/>
        <v>30750</v>
      </c>
      <c r="K384" s="241"/>
    </row>
    <row r="385" spans="1:11" s="48" customFormat="1" ht="13.5" customHeight="1" hidden="1">
      <c r="A385" s="235"/>
      <c r="B385" s="108" t="s">
        <v>340</v>
      </c>
      <c r="C385" s="109">
        <v>55</v>
      </c>
      <c r="D385" s="117" t="s">
        <v>87</v>
      </c>
      <c r="E385" s="132" t="s">
        <v>141</v>
      </c>
      <c r="F385" s="118">
        <v>25.5</v>
      </c>
      <c r="G385" s="118">
        <f>E385*F385*1.03</f>
        <v>307.3005</v>
      </c>
      <c r="H385" s="113">
        <f t="shared" si="25"/>
        <v>8908.641495</v>
      </c>
      <c r="I385" s="40">
        <v>28990</v>
      </c>
      <c r="J385" s="40">
        <f t="shared" si="26"/>
        <v>28750</v>
      </c>
      <c r="K385" s="241"/>
    </row>
    <row r="386" spans="1:11" s="48" customFormat="1" ht="13.5" customHeight="1" hidden="1">
      <c r="A386" s="242"/>
      <c r="B386" s="44" t="s">
        <v>341</v>
      </c>
      <c r="C386" s="45">
        <v>65</v>
      </c>
      <c r="D386" s="36" t="s">
        <v>87</v>
      </c>
      <c r="E386" s="104" t="s">
        <v>139</v>
      </c>
      <c r="F386" s="47">
        <f>24.7*1.03</f>
        <v>25.441</v>
      </c>
      <c r="G386" s="47">
        <f>E386*F386</f>
        <v>305.292</v>
      </c>
      <c r="H386" s="40">
        <f t="shared" si="25"/>
        <v>8850.415079999999</v>
      </c>
      <c r="I386" s="40">
        <v>28990</v>
      </c>
      <c r="J386" s="40"/>
      <c r="K386" s="64"/>
    </row>
    <row r="387" spans="1:11" s="48" customFormat="1" ht="13.5" customHeight="1" hidden="1">
      <c r="A387" s="235"/>
      <c r="B387" s="199" t="s">
        <v>342</v>
      </c>
      <c r="C387" s="200">
        <v>65</v>
      </c>
      <c r="D387" s="201" t="s">
        <v>87</v>
      </c>
      <c r="E387" s="214" t="s">
        <v>139</v>
      </c>
      <c r="F387" s="203">
        <v>29.4</v>
      </c>
      <c r="G387" s="203">
        <f>E387*F387*1.03</f>
        <v>363.38399999999996</v>
      </c>
      <c r="H387" s="204">
        <f t="shared" si="25"/>
        <v>10534.502159999998</v>
      </c>
      <c r="I387" s="113">
        <v>28990</v>
      </c>
      <c r="J387" s="204"/>
      <c r="K387" s="177"/>
    </row>
    <row r="388" spans="1:12" s="48" customFormat="1" ht="21" customHeight="1">
      <c r="A388" s="235"/>
      <c r="B388" s="28" t="s">
        <v>343</v>
      </c>
      <c r="C388" s="30"/>
      <c r="D388" s="30"/>
      <c r="E388" s="30"/>
      <c r="F388" s="30"/>
      <c r="G388" s="30"/>
      <c r="H388" s="30"/>
      <c r="I388" s="30"/>
      <c r="J388" s="30"/>
      <c r="K388" s="66"/>
      <c r="L388" s="48">
        <v>278</v>
      </c>
    </row>
    <row r="389" spans="1:11" s="75" customFormat="1" ht="13.5" customHeight="1" hidden="1">
      <c r="A389" s="235"/>
      <c r="B389" s="191" t="s">
        <v>344</v>
      </c>
      <c r="C389" s="72">
        <v>50</v>
      </c>
      <c r="D389" s="192" t="s">
        <v>345</v>
      </c>
      <c r="E389" s="22" t="s">
        <v>346</v>
      </c>
      <c r="F389" s="58">
        <v>4.9</v>
      </c>
      <c r="G389" s="57">
        <v>29.4</v>
      </c>
      <c r="H389" s="59">
        <f aca="true" t="shared" si="27" ref="H389:H402">I389/(1000/G389)</f>
        <v>1896.0059999999999</v>
      </c>
      <c r="I389" s="59">
        <v>64490</v>
      </c>
      <c r="J389" s="59"/>
      <c r="K389" s="102" t="s">
        <v>347</v>
      </c>
    </row>
    <row r="390" spans="1:12" s="75" customFormat="1" ht="13.5" customHeight="1">
      <c r="A390" s="235"/>
      <c r="B390" s="191" t="s">
        <v>344</v>
      </c>
      <c r="C390" s="72">
        <v>50</v>
      </c>
      <c r="D390" s="192" t="s">
        <v>348</v>
      </c>
      <c r="E390" s="22" t="s">
        <v>349</v>
      </c>
      <c r="F390" s="58">
        <v>5.4</v>
      </c>
      <c r="G390" s="57">
        <v>10.8</v>
      </c>
      <c r="H390" s="59">
        <f t="shared" si="27"/>
        <v>685.6920000000001</v>
      </c>
      <c r="I390" s="59">
        <v>63490</v>
      </c>
      <c r="J390" s="59"/>
      <c r="K390" s="102" t="s">
        <v>350</v>
      </c>
      <c r="L390" s="75">
        <v>278</v>
      </c>
    </row>
    <row r="391" spans="1:12" s="75" customFormat="1" ht="13.5" customHeight="1">
      <c r="A391" s="235"/>
      <c r="B391" s="191" t="s">
        <v>344</v>
      </c>
      <c r="C391" s="72">
        <v>50</v>
      </c>
      <c r="D391" s="192" t="s">
        <v>348</v>
      </c>
      <c r="E391" s="22" t="s">
        <v>349</v>
      </c>
      <c r="F391" s="58">
        <v>5.4</v>
      </c>
      <c r="G391" s="57">
        <v>10.8</v>
      </c>
      <c r="H391" s="59">
        <f t="shared" si="27"/>
        <v>685.6920000000001</v>
      </c>
      <c r="I391" s="59">
        <v>63490</v>
      </c>
      <c r="J391" s="59"/>
      <c r="K391" s="102" t="s">
        <v>351</v>
      </c>
      <c r="L391" s="75">
        <v>278</v>
      </c>
    </row>
    <row r="392" spans="1:12" s="48" customFormat="1" ht="13.5" customHeight="1">
      <c r="A392" s="235"/>
      <c r="B392" s="76" t="s">
        <v>344</v>
      </c>
      <c r="C392" s="69">
        <v>50</v>
      </c>
      <c r="D392" s="37" t="s">
        <v>352</v>
      </c>
      <c r="E392" s="170" t="s">
        <v>346</v>
      </c>
      <c r="F392" s="38">
        <v>5.9</v>
      </c>
      <c r="G392" s="47">
        <v>35.4</v>
      </c>
      <c r="H392" s="41">
        <f t="shared" si="27"/>
        <v>1875.8459999999998</v>
      </c>
      <c r="I392" s="41">
        <v>52990</v>
      </c>
      <c r="J392" s="41"/>
      <c r="K392" s="42"/>
      <c r="L392" s="75">
        <v>278</v>
      </c>
    </row>
    <row r="393" spans="1:11" s="48" customFormat="1" ht="13.5" customHeight="1" hidden="1">
      <c r="A393" s="235"/>
      <c r="B393" s="76" t="s">
        <v>344</v>
      </c>
      <c r="C393" s="69">
        <v>50</v>
      </c>
      <c r="D393" s="37" t="s">
        <v>352</v>
      </c>
      <c r="E393" s="170" t="s">
        <v>346</v>
      </c>
      <c r="F393" s="38">
        <v>5.9</v>
      </c>
      <c r="G393" s="47">
        <v>35.4</v>
      </c>
      <c r="H393" s="41">
        <f t="shared" si="27"/>
        <v>1787.346</v>
      </c>
      <c r="I393" s="41">
        <v>50490</v>
      </c>
      <c r="J393" s="41"/>
      <c r="K393" s="42"/>
    </row>
    <row r="394" spans="1:11" s="48" customFormat="1" ht="13.5" customHeight="1" hidden="1">
      <c r="A394" s="235"/>
      <c r="B394" s="76" t="s">
        <v>344</v>
      </c>
      <c r="C394" s="69">
        <v>50</v>
      </c>
      <c r="D394" s="37" t="s">
        <v>353</v>
      </c>
      <c r="E394" s="170" t="s">
        <v>346</v>
      </c>
      <c r="F394" s="38">
        <v>7.4</v>
      </c>
      <c r="G394" s="38">
        <v>44.4</v>
      </c>
      <c r="H394" s="41">
        <f t="shared" si="27"/>
        <v>2441.556</v>
      </c>
      <c r="I394" s="41">
        <v>54990</v>
      </c>
      <c r="J394" s="41">
        <f>I394-240</f>
        <v>54750</v>
      </c>
      <c r="K394" s="42"/>
    </row>
    <row r="395" spans="1:11" s="50" customFormat="1" ht="13.5" customHeight="1" hidden="1">
      <c r="A395" s="238"/>
      <c r="B395" s="44" t="s">
        <v>354</v>
      </c>
      <c r="C395" s="45">
        <v>50</v>
      </c>
      <c r="D395" s="36" t="s">
        <v>353</v>
      </c>
      <c r="E395" s="163" t="s">
        <v>355</v>
      </c>
      <c r="F395" s="47">
        <v>7.4</v>
      </c>
      <c r="G395" s="47">
        <v>44.4</v>
      </c>
      <c r="H395" s="41">
        <f t="shared" si="27"/>
        <v>2441.556</v>
      </c>
      <c r="I395" s="41">
        <v>54990</v>
      </c>
      <c r="J395" s="41">
        <f>I395-240</f>
        <v>54750</v>
      </c>
      <c r="K395" s="42"/>
    </row>
    <row r="396" spans="1:12" s="48" customFormat="1" ht="13.5" customHeight="1">
      <c r="A396" s="235"/>
      <c r="B396" s="44" t="s">
        <v>356</v>
      </c>
      <c r="C396" s="45">
        <v>50</v>
      </c>
      <c r="D396" s="36" t="s">
        <v>348</v>
      </c>
      <c r="E396" s="163" t="s">
        <v>357</v>
      </c>
      <c r="F396" s="47">
        <v>5.4</v>
      </c>
      <c r="G396" s="47">
        <f>F396*6</f>
        <v>32.400000000000006</v>
      </c>
      <c r="H396" s="41">
        <f t="shared" si="27"/>
        <v>1716.8760000000002</v>
      </c>
      <c r="I396" s="196">
        <v>52990</v>
      </c>
      <c r="J396" s="41"/>
      <c r="K396" s="42"/>
      <c r="L396" s="48">
        <v>278</v>
      </c>
    </row>
    <row r="397" spans="1:11" s="48" customFormat="1" ht="13.5" customHeight="1" hidden="1">
      <c r="A397" s="235"/>
      <c r="B397" s="44" t="s">
        <v>356</v>
      </c>
      <c r="C397" s="45">
        <v>50</v>
      </c>
      <c r="D397" s="36" t="s">
        <v>353</v>
      </c>
      <c r="E397" s="163" t="s">
        <v>357</v>
      </c>
      <c r="F397" s="47">
        <v>7.4</v>
      </c>
      <c r="G397" s="47">
        <v>44.4</v>
      </c>
      <c r="H397" s="41">
        <f t="shared" si="27"/>
        <v>2219.556</v>
      </c>
      <c r="I397" s="41">
        <v>49990</v>
      </c>
      <c r="J397" s="41">
        <f>I397-240</f>
        <v>49750</v>
      </c>
      <c r="K397" s="42"/>
    </row>
    <row r="398" spans="1:12" s="48" customFormat="1" ht="13.5" customHeight="1">
      <c r="A398" s="235"/>
      <c r="B398" s="44" t="s">
        <v>358</v>
      </c>
      <c r="C398" s="45">
        <v>50</v>
      </c>
      <c r="D398" s="36" t="s">
        <v>353</v>
      </c>
      <c r="E398" s="163" t="s">
        <v>357</v>
      </c>
      <c r="F398" s="47">
        <v>7.4</v>
      </c>
      <c r="G398" s="47">
        <v>44.4</v>
      </c>
      <c r="H398" s="40">
        <f t="shared" si="27"/>
        <v>2374.956</v>
      </c>
      <c r="I398" s="41">
        <v>53490</v>
      </c>
      <c r="J398" s="41"/>
      <c r="K398" s="42"/>
      <c r="L398" s="48">
        <v>278</v>
      </c>
    </row>
    <row r="399" spans="1:12" s="243" customFormat="1" ht="13.5" customHeight="1">
      <c r="A399" s="235"/>
      <c r="B399" s="44" t="s">
        <v>359</v>
      </c>
      <c r="C399" s="45">
        <v>50</v>
      </c>
      <c r="D399" s="36" t="s">
        <v>353</v>
      </c>
      <c r="E399" s="163" t="s">
        <v>360</v>
      </c>
      <c r="F399" s="47">
        <v>6.5</v>
      </c>
      <c r="G399" s="47">
        <v>39</v>
      </c>
      <c r="H399" s="41">
        <f t="shared" si="27"/>
        <v>2203.1099999999997</v>
      </c>
      <c r="I399" s="41">
        <v>56490</v>
      </c>
      <c r="J399" s="41"/>
      <c r="K399" s="42"/>
      <c r="L399" s="243">
        <v>278</v>
      </c>
    </row>
    <row r="400" spans="1:11" s="243" customFormat="1" ht="13.5" customHeight="1" hidden="1">
      <c r="A400" s="235"/>
      <c r="B400" s="44" t="s">
        <v>359</v>
      </c>
      <c r="C400" s="45">
        <v>50</v>
      </c>
      <c r="D400" s="36" t="s">
        <v>353</v>
      </c>
      <c r="E400" s="163" t="s">
        <v>361</v>
      </c>
      <c r="F400" s="47">
        <v>7.4</v>
      </c>
      <c r="G400" s="47">
        <v>44.4</v>
      </c>
      <c r="H400" s="41">
        <f t="shared" si="27"/>
        <v>2286.156</v>
      </c>
      <c r="I400" s="41">
        <v>51490</v>
      </c>
      <c r="J400" s="41"/>
      <c r="K400" s="64"/>
    </row>
    <row r="401" spans="1:12" s="48" customFormat="1" ht="13.5" customHeight="1">
      <c r="A401" s="235"/>
      <c r="B401" s="44" t="s">
        <v>362</v>
      </c>
      <c r="C401" s="45">
        <v>50</v>
      </c>
      <c r="D401" s="36" t="s">
        <v>353</v>
      </c>
      <c r="E401" s="163" t="s">
        <v>360</v>
      </c>
      <c r="F401" s="47">
        <v>7.4</v>
      </c>
      <c r="G401" s="47">
        <v>44.4</v>
      </c>
      <c r="H401" s="40">
        <f t="shared" si="27"/>
        <v>2374.956</v>
      </c>
      <c r="I401" s="41">
        <v>53490</v>
      </c>
      <c r="J401" s="41"/>
      <c r="K401" s="42"/>
      <c r="L401" s="48">
        <v>278</v>
      </c>
    </row>
    <row r="402" spans="1:11" s="48" customFormat="1" ht="13.5" customHeight="1" hidden="1">
      <c r="A402" s="235"/>
      <c r="B402" s="44" t="s">
        <v>363</v>
      </c>
      <c r="C402" s="45">
        <v>50</v>
      </c>
      <c r="D402" s="36" t="s">
        <v>364</v>
      </c>
      <c r="E402" s="163" t="s">
        <v>365</v>
      </c>
      <c r="F402" s="47">
        <v>10.3</v>
      </c>
      <c r="G402" s="123">
        <v>64.375</v>
      </c>
      <c r="H402" s="40">
        <f t="shared" si="27"/>
        <v>2574.35625</v>
      </c>
      <c r="I402" s="40">
        <v>39990</v>
      </c>
      <c r="J402" s="40">
        <f>I402-240</f>
        <v>39750</v>
      </c>
      <c r="K402" s="64"/>
    </row>
    <row r="403" spans="1:252" s="32" customFormat="1" ht="21" customHeight="1">
      <c r="A403" s="120"/>
      <c r="B403" s="158" t="s">
        <v>366</v>
      </c>
      <c r="C403" s="159"/>
      <c r="D403" s="159"/>
      <c r="E403" s="159"/>
      <c r="F403" s="159"/>
      <c r="G403" s="159"/>
      <c r="H403" s="159"/>
      <c r="I403" s="159"/>
      <c r="J403" s="159"/>
      <c r="K403" s="160"/>
      <c r="L403" s="32">
        <v>277</v>
      </c>
      <c r="GM403" s="33"/>
      <c r="GN403" s="33"/>
      <c r="GO403" s="33"/>
      <c r="GP403" s="33"/>
      <c r="GQ403" s="33"/>
      <c r="GR403" s="33"/>
      <c r="GS403" s="33"/>
      <c r="GT403" s="33"/>
      <c r="GU403" s="33"/>
      <c r="GV403" s="33"/>
      <c r="GW403" s="33"/>
      <c r="GX403" s="33"/>
      <c r="GY403" s="33"/>
      <c r="GZ403" s="33"/>
      <c r="HA403" s="33"/>
      <c r="HB403" s="33"/>
      <c r="HC403" s="33"/>
      <c r="HD403" s="33"/>
      <c r="HE403" s="33"/>
      <c r="HF403" s="33"/>
      <c r="HG403" s="33"/>
      <c r="HH403" s="33"/>
      <c r="HI403" s="33"/>
      <c r="HJ403" s="33"/>
      <c r="HK403" s="33"/>
      <c r="HL403" s="33"/>
      <c r="HM403" s="33"/>
      <c r="HN403" s="33"/>
      <c r="HO403" s="33"/>
      <c r="HP403" s="33"/>
      <c r="HQ403" s="33"/>
      <c r="HR403" s="33"/>
      <c r="HS403" s="33"/>
      <c r="HT403" s="33"/>
      <c r="HU403" s="33"/>
      <c r="HV403" s="33"/>
      <c r="HW403" s="33"/>
      <c r="HX403" s="33"/>
      <c r="HY403" s="33"/>
      <c r="HZ403" s="33"/>
      <c r="IA403" s="33"/>
      <c r="IB403" s="33"/>
      <c r="IC403" s="33"/>
      <c r="ID403" s="33"/>
      <c r="IE403" s="33"/>
      <c r="IF403" s="33"/>
      <c r="IG403" s="33"/>
      <c r="IH403" s="33"/>
      <c r="II403" s="33"/>
      <c r="IJ403" s="33"/>
      <c r="IK403" s="33"/>
      <c r="IL403" s="33"/>
      <c r="IM403" s="33"/>
      <c r="IN403" s="33"/>
      <c r="IO403" s="33"/>
      <c r="IP403" s="33"/>
      <c r="IQ403" s="33"/>
      <c r="IR403" s="33"/>
    </row>
    <row r="404" spans="1:11" s="48" customFormat="1" ht="13.5" customHeight="1" hidden="1">
      <c r="A404" s="120"/>
      <c r="B404" s="76" t="s">
        <v>367</v>
      </c>
      <c r="C404" s="69"/>
      <c r="D404" s="37" t="s">
        <v>175</v>
      </c>
      <c r="E404" s="170" t="s">
        <v>178</v>
      </c>
      <c r="F404" s="38"/>
      <c r="G404" s="38">
        <v>8</v>
      </c>
      <c r="H404" s="41">
        <f aca="true" t="shared" si="28" ref="H404:H411">I404/(1000/G404)</f>
        <v>443.92</v>
      </c>
      <c r="I404" s="40">
        <v>55490</v>
      </c>
      <c r="J404" s="41"/>
      <c r="K404" s="164"/>
    </row>
    <row r="405" spans="1:12" s="50" customFormat="1" ht="13.5" customHeight="1">
      <c r="A405" s="122"/>
      <c r="B405" s="76" t="s">
        <v>368</v>
      </c>
      <c r="C405" s="69"/>
      <c r="D405" s="37" t="s">
        <v>175</v>
      </c>
      <c r="E405" s="170" t="s">
        <v>178</v>
      </c>
      <c r="F405" s="38"/>
      <c r="G405" s="38">
        <v>8.8</v>
      </c>
      <c r="H405" s="40">
        <f t="shared" si="28"/>
        <v>527.912</v>
      </c>
      <c r="I405" s="40">
        <v>59990</v>
      </c>
      <c r="J405" s="41"/>
      <c r="K405" s="63"/>
      <c r="L405" s="50">
        <v>277</v>
      </c>
    </row>
    <row r="406" spans="1:12" s="48" customFormat="1" ht="13.5" customHeight="1">
      <c r="A406" s="120"/>
      <c r="B406" s="44" t="s">
        <v>367</v>
      </c>
      <c r="C406" s="45"/>
      <c r="D406" s="36" t="s">
        <v>175</v>
      </c>
      <c r="E406" s="163" t="s">
        <v>176</v>
      </c>
      <c r="F406" s="47"/>
      <c r="G406" s="47">
        <v>12.5</v>
      </c>
      <c r="H406" s="40">
        <f t="shared" si="28"/>
        <v>749.875</v>
      </c>
      <c r="I406" s="40">
        <v>59990</v>
      </c>
      <c r="J406" s="41"/>
      <c r="K406" s="63"/>
      <c r="L406" s="50">
        <v>277</v>
      </c>
    </row>
    <row r="407" spans="1:11" s="48" customFormat="1" ht="13.5" customHeight="1" hidden="1">
      <c r="A407" s="120"/>
      <c r="B407" s="44" t="s">
        <v>368</v>
      </c>
      <c r="C407" s="45"/>
      <c r="D407" s="36" t="s">
        <v>175</v>
      </c>
      <c r="E407" s="163" t="s">
        <v>176</v>
      </c>
      <c r="F407" s="47"/>
      <c r="G407" s="47">
        <v>14</v>
      </c>
      <c r="H407" s="40">
        <f t="shared" si="28"/>
        <v>811.86</v>
      </c>
      <c r="I407" s="40">
        <v>57990</v>
      </c>
      <c r="J407" s="41"/>
      <c r="K407" s="63"/>
    </row>
    <row r="408" spans="1:11" s="48" customFormat="1" ht="13.5" customHeight="1" hidden="1">
      <c r="A408" s="120"/>
      <c r="B408" s="44" t="s">
        <v>369</v>
      </c>
      <c r="C408" s="45"/>
      <c r="D408" s="36" t="s">
        <v>175</v>
      </c>
      <c r="E408" s="170" t="s">
        <v>178</v>
      </c>
      <c r="F408" s="47"/>
      <c r="G408" s="47">
        <v>11.21</v>
      </c>
      <c r="H408" s="41">
        <f t="shared" si="28"/>
        <v>616.4379</v>
      </c>
      <c r="I408" s="40">
        <v>54990</v>
      </c>
      <c r="J408" s="41">
        <f>I408-240</f>
        <v>54750</v>
      </c>
      <c r="K408" s="131"/>
    </row>
    <row r="409" spans="1:12" s="48" customFormat="1" ht="13.5" customHeight="1">
      <c r="A409" s="120"/>
      <c r="B409" s="44" t="s">
        <v>369</v>
      </c>
      <c r="C409" s="45"/>
      <c r="D409" s="36" t="s">
        <v>175</v>
      </c>
      <c r="E409" s="163" t="s">
        <v>176</v>
      </c>
      <c r="F409" s="47"/>
      <c r="G409" s="47">
        <v>17.5</v>
      </c>
      <c r="H409" s="40">
        <f t="shared" si="28"/>
        <v>1032.325</v>
      </c>
      <c r="I409" s="40">
        <v>58990</v>
      </c>
      <c r="J409" s="40"/>
      <c r="K409" s="63"/>
      <c r="L409" s="48">
        <v>277</v>
      </c>
    </row>
    <row r="410" spans="1:11" s="48" customFormat="1" ht="13.5" customHeight="1" hidden="1">
      <c r="A410" s="120"/>
      <c r="B410" s="44" t="s">
        <v>370</v>
      </c>
      <c r="C410" s="45"/>
      <c r="D410" s="36"/>
      <c r="E410" s="163" t="s">
        <v>176</v>
      </c>
      <c r="F410" s="47"/>
      <c r="G410" s="47">
        <v>25.2</v>
      </c>
      <c r="H410" s="40">
        <f t="shared" si="28"/>
        <v>755.7479999999999</v>
      </c>
      <c r="I410" s="40">
        <v>29990</v>
      </c>
      <c r="J410" s="40">
        <f>I410-240</f>
        <v>29750</v>
      </c>
      <c r="K410" s="63"/>
    </row>
    <row r="411" spans="1:11" s="48" customFormat="1" ht="13.5" customHeight="1" hidden="1">
      <c r="A411" s="120"/>
      <c r="B411" s="44" t="s">
        <v>371</v>
      </c>
      <c r="C411" s="45"/>
      <c r="D411" s="36"/>
      <c r="E411" s="163" t="s">
        <v>176</v>
      </c>
      <c r="F411" s="47"/>
      <c r="G411" s="47">
        <v>38</v>
      </c>
      <c r="H411" s="40">
        <f t="shared" si="28"/>
        <v>1139.6200000000001</v>
      </c>
      <c r="I411" s="40">
        <v>29990</v>
      </c>
      <c r="J411" s="41">
        <f>I411-240</f>
        <v>29750</v>
      </c>
      <c r="K411" s="63"/>
    </row>
    <row r="412" spans="1:11" s="50" customFormat="1" ht="13.5" customHeight="1" hidden="1">
      <c r="A412" s="122"/>
      <c r="B412" s="44" t="s">
        <v>372</v>
      </c>
      <c r="C412" s="45"/>
      <c r="D412" s="36"/>
      <c r="E412" s="163" t="s">
        <v>176</v>
      </c>
      <c r="F412" s="47"/>
      <c r="G412" s="47"/>
      <c r="H412" s="40"/>
      <c r="I412" s="40">
        <v>29990</v>
      </c>
      <c r="J412" s="41">
        <f>I412-240</f>
        <v>29750</v>
      </c>
      <c r="K412" s="63"/>
    </row>
    <row r="413" spans="1:11" s="50" customFormat="1" ht="13.5" customHeight="1" hidden="1">
      <c r="A413" s="122"/>
      <c r="B413" s="44" t="s">
        <v>373</v>
      </c>
      <c r="C413" s="45"/>
      <c r="D413" s="36"/>
      <c r="E413" s="163" t="s">
        <v>176</v>
      </c>
      <c r="F413" s="47"/>
      <c r="G413" s="47">
        <v>75</v>
      </c>
      <c r="H413" s="40">
        <f>I413/(1000/G413)</f>
        <v>2249.25</v>
      </c>
      <c r="I413" s="40">
        <v>29990</v>
      </c>
      <c r="J413" s="41">
        <f>I413-240</f>
        <v>29750</v>
      </c>
      <c r="K413" s="63"/>
    </row>
    <row r="414" spans="1:11" s="48" customFormat="1" ht="13.5" customHeight="1" hidden="1">
      <c r="A414" s="120"/>
      <c r="B414" s="108" t="s">
        <v>374</v>
      </c>
      <c r="C414" s="178"/>
      <c r="D414" s="244"/>
      <c r="E414" s="179" t="s">
        <v>176</v>
      </c>
      <c r="F414" s="118"/>
      <c r="G414" s="118">
        <v>31.68</v>
      </c>
      <c r="H414" s="204">
        <f>I414/(1000/G414)</f>
        <v>950.0831999999999</v>
      </c>
      <c r="I414" s="113">
        <v>29990</v>
      </c>
      <c r="J414" s="204">
        <f>I414-240</f>
        <v>29750</v>
      </c>
      <c r="K414" s="245"/>
    </row>
    <row r="415" spans="1:11" s="48" customFormat="1" ht="13.5" customHeight="1">
      <c r="A415" s="134"/>
      <c r="B415" s="135"/>
      <c r="C415" s="246"/>
      <c r="D415" s="247"/>
      <c r="E415" s="248"/>
      <c r="F415" s="139"/>
      <c r="G415" s="139"/>
      <c r="H415" s="140"/>
      <c r="I415" s="140"/>
      <c r="J415" s="140"/>
      <c r="K415" s="247"/>
    </row>
    <row r="416" spans="1:11" s="48" customFormat="1" ht="13.5" customHeight="1">
      <c r="A416" s="134"/>
      <c r="B416" s="135"/>
      <c r="C416" s="246"/>
      <c r="D416" s="247"/>
      <c r="E416" s="248"/>
      <c r="F416" s="139"/>
      <c r="G416" s="139"/>
      <c r="H416" s="140"/>
      <c r="I416" s="140"/>
      <c r="J416" s="140"/>
      <c r="K416" s="247"/>
    </row>
    <row r="417" spans="1:11" s="48" customFormat="1" ht="13.5" customHeight="1">
      <c r="A417" s="134"/>
      <c r="B417" s="135"/>
      <c r="C417" s="246"/>
      <c r="D417" s="247"/>
      <c r="E417" s="248"/>
      <c r="F417" s="139"/>
      <c r="G417" s="139"/>
      <c r="H417" s="140"/>
      <c r="I417" s="140"/>
      <c r="J417" s="140"/>
      <c r="K417" s="247"/>
    </row>
    <row r="418" spans="1:11" s="48" customFormat="1" ht="13.5" customHeight="1">
      <c r="A418" s="134"/>
      <c r="B418" s="135"/>
      <c r="C418" s="246"/>
      <c r="D418" s="247"/>
      <c r="E418" s="248"/>
      <c r="F418" s="139"/>
      <c r="G418" s="139"/>
      <c r="H418" s="140"/>
      <c r="I418" s="140"/>
      <c r="J418" s="140"/>
      <c r="K418" s="247"/>
    </row>
    <row r="419" spans="1:11" ht="13.5" customHeight="1">
      <c r="A419" s="15" t="s">
        <v>4</v>
      </c>
      <c r="B419" s="270" t="s">
        <v>5</v>
      </c>
      <c r="C419" s="16" t="s">
        <v>6</v>
      </c>
      <c r="D419" s="271" t="s">
        <v>7</v>
      </c>
      <c r="E419" s="17" t="s">
        <v>8</v>
      </c>
      <c r="F419" s="18" t="s">
        <v>9</v>
      </c>
      <c r="G419" s="19" t="s">
        <v>10</v>
      </c>
      <c r="H419" s="20" t="s">
        <v>11</v>
      </c>
      <c r="I419" s="272" t="s">
        <v>12</v>
      </c>
      <c r="J419" s="272"/>
      <c r="K419" s="273" t="s">
        <v>13</v>
      </c>
    </row>
    <row r="420" spans="1:11" ht="13.5" customHeight="1">
      <c r="A420" s="15"/>
      <c r="B420" s="270"/>
      <c r="C420" s="21" t="s">
        <v>14</v>
      </c>
      <c r="D420" s="271"/>
      <c r="E420" s="22" t="s">
        <v>15</v>
      </c>
      <c r="F420" s="23" t="s">
        <v>16</v>
      </c>
      <c r="G420" s="24" t="s">
        <v>16</v>
      </c>
      <c r="H420" s="25" t="s">
        <v>14</v>
      </c>
      <c r="I420" s="26" t="s">
        <v>17</v>
      </c>
      <c r="J420" s="27" t="s">
        <v>18</v>
      </c>
      <c r="K420" s="273"/>
    </row>
    <row r="421" spans="1:12" s="48" customFormat="1" ht="21" customHeight="1">
      <c r="A421" s="120"/>
      <c r="B421" s="28" t="s">
        <v>375</v>
      </c>
      <c r="C421" s="30"/>
      <c r="D421" s="30"/>
      <c r="E421" s="30"/>
      <c r="F421" s="30"/>
      <c r="G421" s="30"/>
      <c r="H421" s="30"/>
      <c r="I421" s="30"/>
      <c r="J421" s="30"/>
      <c r="K421" s="66"/>
      <c r="L421" s="48">
        <v>283</v>
      </c>
    </row>
    <row r="422" spans="1:12" s="48" customFormat="1" ht="13.5" customHeight="1">
      <c r="A422" s="120"/>
      <c r="B422" s="76" t="s">
        <v>376</v>
      </c>
      <c r="C422" s="69">
        <v>6</v>
      </c>
      <c r="D422" s="37"/>
      <c r="E422" s="104" t="s">
        <v>56</v>
      </c>
      <c r="F422" s="38">
        <f>0.222*1.09</f>
        <v>0.24198000000000003</v>
      </c>
      <c r="G422" s="47">
        <f>E422*F422</f>
        <v>1.45188</v>
      </c>
      <c r="H422" s="41">
        <f>I422/(1000/G422)</f>
        <v>63.86820120000001</v>
      </c>
      <c r="I422" s="41">
        <v>43990</v>
      </c>
      <c r="J422" s="41"/>
      <c r="K422" s="168"/>
      <c r="L422" s="48">
        <v>283</v>
      </c>
    </row>
    <row r="423" spans="1:11" s="48" customFormat="1" ht="13.5" customHeight="1" hidden="1">
      <c r="A423" s="120"/>
      <c r="B423" s="76" t="s">
        <v>377</v>
      </c>
      <c r="C423" s="69">
        <v>6</v>
      </c>
      <c r="D423" s="37" t="s">
        <v>378</v>
      </c>
      <c r="E423" s="104" t="s">
        <v>379</v>
      </c>
      <c r="F423" s="38">
        <v>0.395</v>
      </c>
      <c r="G423" s="38"/>
      <c r="H423" s="41"/>
      <c r="I423" s="41">
        <v>35490</v>
      </c>
      <c r="J423" s="41">
        <f>I423-240</f>
        <v>35250</v>
      </c>
      <c r="K423" s="168"/>
    </row>
    <row r="424" spans="1:11" s="48" customFormat="1" ht="13.5" customHeight="1" hidden="1">
      <c r="A424" s="120"/>
      <c r="B424" s="76" t="s">
        <v>377</v>
      </c>
      <c r="C424" s="69">
        <v>8</v>
      </c>
      <c r="D424" s="37"/>
      <c r="E424" s="205" t="s">
        <v>56</v>
      </c>
      <c r="F424" s="249">
        <f>0.395*1.16</f>
        <v>0.4582</v>
      </c>
      <c r="G424" s="47">
        <f>E424*F424</f>
        <v>2.7492</v>
      </c>
      <c r="H424" s="41">
        <f>I424/(1000/G424)</f>
        <v>114.06430800000001</v>
      </c>
      <c r="I424" s="41">
        <v>41490</v>
      </c>
      <c r="J424" s="41"/>
      <c r="K424" s="168"/>
    </row>
    <row r="425" spans="1:11" s="48" customFormat="1" ht="13.5" customHeight="1" hidden="1">
      <c r="A425" s="120"/>
      <c r="B425" s="76" t="s">
        <v>377</v>
      </c>
      <c r="C425" s="69">
        <v>8</v>
      </c>
      <c r="D425" s="36" t="s">
        <v>380</v>
      </c>
      <c r="E425" s="205" t="s">
        <v>256</v>
      </c>
      <c r="F425" s="249">
        <f>0.395*1.16</f>
        <v>0.4582</v>
      </c>
      <c r="G425" s="47">
        <f>E425*F425</f>
        <v>4.1238</v>
      </c>
      <c r="H425" s="41">
        <f>I425/(1000/G425)</f>
        <v>191.715462</v>
      </c>
      <c r="I425" s="41">
        <v>46490</v>
      </c>
      <c r="J425" s="41">
        <f>I425-260</f>
        <v>46230</v>
      </c>
      <c r="K425" s="168"/>
    </row>
    <row r="426" spans="1:12" s="50" customFormat="1" ht="13.5" customHeight="1">
      <c r="A426" s="122"/>
      <c r="B426" s="76" t="s">
        <v>377</v>
      </c>
      <c r="C426" s="69">
        <v>8</v>
      </c>
      <c r="D426" s="36" t="s">
        <v>380</v>
      </c>
      <c r="E426" s="205" t="s">
        <v>56</v>
      </c>
      <c r="F426" s="249">
        <f>0.395*1.16</f>
        <v>0.4582</v>
      </c>
      <c r="G426" s="47">
        <f>E426*F426</f>
        <v>2.7492</v>
      </c>
      <c r="H426" s="41">
        <f>I426/(1000/G426)</f>
        <v>123.686508</v>
      </c>
      <c r="I426" s="41">
        <v>44990</v>
      </c>
      <c r="J426" s="41"/>
      <c r="K426" s="168"/>
      <c r="L426" s="50">
        <v>283</v>
      </c>
    </row>
    <row r="427" spans="1:11" s="50" customFormat="1" ht="13.5" customHeight="1" hidden="1">
      <c r="A427" s="122"/>
      <c r="B427" s="76" t="s">
        <v>381</v>
      </c>
      <c r="C427" s="45">
        <v>12</v>
      </c>
      <c r="D427" s="36" t="s">
        <v>380</v>
      </c>
      <c r="E427" s="205" t="s">
        <v>48</v>
      </c>
      <c r="F427" s="249">
        <f>0.62*1.04</f>
        <v>0.6448</v>
      </c>
      <c r="G427" s="38"/>
      <c r="H427" s="41"/>
      <c r="I427" s="41">
        <v>28990</v>
      </c>
      <c r="J427" s="41">
        <f>I427-240</f>
        <v>28750</v>
      </c>
      <c r="K427" s="168"/>
    </row>
    <row r="428" spans="1:11" s="48" customFormat="1" ht="13.5" customHeight="1" hidden="1">
      <c r="A428" s="120"/>
      <c r="B428" s="76" t="s">
        <v>381</v>
      </c>
      <c r="C428" s="45">
        <v>5</v>
      </c>
      <c r="D428" s="36" t="s">
        <v>380</v>
      </c>
      <c r="E428" s="104" t="s">
        <v>379</v>
      </c>
      <c r="F428" s="249">
        <f>0.62*1.04</f>
        <v>0.6448</v>
      </c>
      <c r="G428" s="38"/>
      <c r="H428" s="41"/>
      <c r="I428" s="41">
        <v>33990</v>
      </c>
      <c r="J428" s="41">
        <f>I428-240</f>
        <v>33750</v>
      </c>
      <c r="K428" s="168"/>
    </row>
    <row r="429" spans="1:11" s="48" customFormat="1" ht="13.5" customHeight="1" hidden="1">
      <c r="A429" s="120"/>
      <c r="B429" s="76" t="s">
        <v>381</v>
      </c>
      <c r="C429" s="45">
        <v>10</v>
      </c>
      <c r="D429" s="36" t="s">
        <v>380</v>
      </c>
      <c r="E429" s="205" t="s">
        <v>56</v>
      </c>
      <c r="F429" s="249">
        <f>0.617*1.05</f>
        <v>0.64785</v>
      </c>
      <c r="G429" s="47">
        <f>E429*F429</f>
        <v>3.8871</v>
      </c>
      <c r="H429" s="41">
        <f>I429/(1000/G429)</f>
        <v>194.316129</v>
      </c>
      <c r="I429" s="41">
        <v>49990</v>
      </c>
      <c r="J429" s="41">
        <f>I429-240</f>
        <v>49750</v>
      </c>
      <c r="K429" s="168"/>
    </row>
    <row r="430" spans="1:12" s="50" customFormat="1" ht="13.5" customHeight="1">
      <c r="A430" s="122"/>
      <c r="B430" s="76" t="s">
        <v>381</v>
      </c>
      <c r="C430" s="45">
        <v>10</v>
      </c>
      <c r="D430" s="36" t="s">
        <v>380</v>
      </c>
      <c r="E430" s="205" t="s">
        <v>141</v>
      </c>
      <c r="F430" s="249">
        <f>0.617*1.05</f>
        <v>0.64785</v>
      </c>
      <c r="G430" s="47">
        <f>E430*F430</f>
        <v>7.579845</v>
      </c>
      <c r="H430" s="41">
        <f>I430/(1000/G430)</f>
        <v>331.61821875</v>
      </c>
      <c r="I430" s="41">
        <v>43750</v>
      </c>
      <c r="J430" s="41">
        <f>I430-260</f>
        <v>43490</v>
      </c>
      <c r="K430" s="63"/>
      <c r="L430" s="50">
        <v>283</v>
      </c>
    </row>
    <row r="431" spans="1:11" s="50" customFormat="1" ht="13.5" customHeight="1" hidden="1">
      <c r="A431" s="122"/>
      <c r="B431" s="44" t="s">
        <v>382</v>
      </c>
      <c r="C431" s="45">
        <v>12</v>
      </c>
      <c r="D431" s="36" t="s">
        <v>380</v>
      </c>
      <c r="E431" s="205" t="s">
        <v>48</v>
      </c>
      <c r="F431" s="123">
        <f>0.888*1.05</f>
        <v>0.9324</v>
      </c>
      <c r="G431" s="47"/>
      <c r="H431" s="41"/>
      <c r="I431" s="41">
        <v>25990</v>
      </c>
      <c r="J431" s="41">
        <f>I431-240</f>
        <v>25750</v>
      </c>
      <c r="K431" s="63" t="s">
        <v>31</v>
      </c>
    </row>
    <row r="432" spans="1:12" s="50" customFormat="1" ht="13.5" customHeight="1">
      <c r="A432" s="122"/>
      <c r="B432" s="44" t="s">
        <v>382</v>
      </c>
      <c r="C432" s="45">
        <v>12</v>
      </c>
      <c r="D432" s="36" t="s">
        <v>380</v>
      </c>
      <c r="E432" s="104" t="s">
        <v>139</v>
      </c>
      <c r="F432" s="123">
        <f>0.888*1.05</f>
        <v>0.9324</v>
      </c>
      <c r="G432" s="38">
        <f>E432*F432</f>
        <v>11.1888</v>
      </c>
      <c r="H432" s="41">
        <f>I432/(1000/G432)</f>
        <v>447.440112</v>
      </c>
      <c r="I432" s="41">
        <v>39990</v>
      </c>
      <c r="J432" s="41">
        <f>I432-240</f>
        <v>39750</v>
      </c>
      <c r="K432" s="63"/>
      <c r="L432" s="50">
        <v>283</v>
      </c>
    </row>
    <row r="433" spans="1:11" s="75" customFormat="1" ht="13.5" customHeight="1" hidden="1">
      <c r="A433" s="120"/>
      <c r="B433" s="191" t="s">
        <v>383</v>
      </c>
      <c r="C433" s="72">
        <v>7</v>
      </c>
      <c r="D433" s="55" t="s">
        <v>380</v>
      </c>
      <c r="E433" s="250" t="s">
        <v>48</v>
      </c>
      <c r="F433" s="58">
        <f>1.21*1.04</f>
        <v>1.2584</v>
      </c>
      <c r="G433" s="58"/>
      <c r="H433" s="59"/>
      <c r="I433" s="41">
        <v>34490</v>
      </c>
      <c r="J433" s="41">
        <f>I433-240</f>
        <v>34250</v>
      </c>
      <c r="K433" s="42"/>
    </row>
    <row r="434" spans="1:11" s="75" customFormat="1" ht="13.5" customHeight="1" hidden="1">
      <c r="A434" s="120"/>
      <c r="B434" s="191" t="s">
        <v>383</v>
      </c>
      <c r="C434" s="72">
        <v>14</v>
      </c>
      <c r="D434" s="55" t="s">
        <v>380</v>
      </c>
      <c r="E434" s="73">
        <v>11.7</v>
      </c>
      <c r="F434" s="58">
        <f>1.21*1.05</f>
        <v>1.2705</v>
      </c>
      <c r="G434" s="58">
        <f>E434*F434</f>
        <v>14.864849999999999</v>
      </c>
      <c r="H434" s="59">
        <f>I434/(1000/G434)</f>
        <v>512.6886765</v>
      </c>
      <c r="I434" s="41">
        <v>34490</v>
      </c>
      <c r="J434" s="41">
        <f>I434-240</f>
        <v>34250</v>
      </c>
      <c r="K434" s="251" t="s">
        <v>88</v>
      </c>
    </row>
    <row r="435" spans="1:12" s="50" customFormat="1" ht="13.5" customHeight="1">
      <c r="A435" s="120"/>
      <c r="B435" s="76" t="s">
        <v>383</v>
      </c>
      <c r="C435" s="69">
        <v>14</v>
      </c>
      <c r="D435" s="36" t="s">
        <v>380</v>
      </c>
      <c r="E435" s="70">
        <v>12</v>
      </c>
      <c r="F435" s="38">
        <f>1.21*1.05</f>
        <v>1.2705</v>
      </c>
      <c r="G435" s="38">
        <f>E435*F435</f>
        <v>15.245999999999999</v>
      </c>
      <c r="H435" s="41">
        <f>I435/(1000/G435)</f>
        <v>606.0284999999999</v>
      </c>
      <c r="I435" s="41">
        <v>39750</v>
      </c>
      <c r="J435" s="41"/>
      <c r="K435" s="130"/>
      <c r="L435" s="50">
        <v>283</v>
      </c>
    </row>
    <row r="436" spans="1:11" s="75" customFormat="1" ht="13.5" customHeight="1" hidden="1">
      <c r="A436" s="120"/>
      <c r="B436" s="44" t="s">
        <v>384</v>
      </c>
      <c r="C436" s="45">
        <v>8</v>
      </c>
      <c r="D436" s="36" t="s">
        <v>380</v>
      </c>
      <c r="E436" s="104" t="s">
        <v>48</v>
      </c>
      <c r="F436" s="47">
        <v>1.58</v>
      </c>
      <c r="G436" s="38"/>
      <c r="H436" s="74"/>
      <c r="I436" s="41">
        <v>34490</v>
      </c>
      <c r="J436" s="41">
        <f>I436-260</f>
        <v>34230</v>
      </c>
      <c r="K436" s="102"/>
    </row>
    <row r="437" spans="1:11" s="50" customFormat="1" ht="13.5" customHeight="1" hidden="1">
      <c r="A437" s="122"/>
      <c r="B437" s="44" t="s">
        <v>384</v>
      </c>
      <c r="C437" s="45">
        <v>16</v>
      </c>
      <c r="D437" s="36" t="s">
        <v>380</v>
      </c>
      <c r="E437" s="104" t="s">
        <v>56</v>
      </c>
      <c r="F437" s="47">
        <f>1.58*1.03</f>
        <v>1.6274000000000002</v>
      </c>
      <c r="G437" s="38">
        <f>E437*F437</f>
        <v>9.764400000000002</v>
      </c>
      <c r="H437" s="40">
        <f>I437/(1000/G437)</f>
        <v>336.77415600000006</v>
      </c>
      <c r="I437" s="41">
        <v>34490</v>
      </c>
      <c r="J437" s="41">
        <f>I437-260</f>
        <v>34230</v>
      </c>
      <c r="K437" s="168"/>
    </row>
    <row r="438" spans="1:11" s="75" customFormat="1" ht="13.5" customHeight="1" hidden="1">
      <c r="A438" s="120"/>
      <c r="B438" s="103" t="s">
        <v>384</v>
      </c>
      <c r="C438" s="54">
        <v>16</v>
      </c>
      <c r="D438" s="55" t="s">
        <v>380</v>
      </c>
      <c r="E438" s="101" t="s">
        <v>141</v>
      </c>
      <c r="F438" s="57">
        <f>1.58*1.03</f>
        <v>1.6274000000000002</v>
      </c>
      <c r="G438" s="58">
        <f>E438*F438</f>
        <v>19.040580000000002</v>
      </c>
      <c r="H438" s="74">
        <f>I438/(1000/G438)</f>
        <v>656.7096042000001</v>
      </c>
      <c r="I438" s="41">
        <v>34490</v>
      </c>
      <c r="J438" s="41">
        <f>I438-260</f>
        <v>34230</v>
      </c>
      <c r="K438" s="251" t="s">
        <v>88</v>
      </c>
    </row>
    <row r="439" spans="1:12" s="50" customFormat="1" ht="13.5" customHeight="1">
      <c r="A439" s="122"/>
      <c r="B439" s="44" t="s">
        <v>384</v>
      </c>
      <c r="C439" s="45">
        <v>16</v>
      </c>
      <c r="D439" s="36" t="s">
        <v>380</v>
      </c>
      <c r="E439" s="104" t="s">
        <v>141</v>
      </c>
      <c r="F439" s="47">
        <f>1.58*1.03</f>
        <v>1.6274000000000002</v>
      </c>
      <c r="G439" s="38">
        <f>E439*F439</f>
        <v>19.040580000000002</v>
      </c>
      <c r="H439" s="40">
        <f>I439/(1000/G439)</f>
        <v>756.863055</v>
      </c>
      <c r="I439" s="41">
        <v>39750</v>
      </c>
      <c r="J439" s="41"/>
      <c r="K439" s="168"/>
      <c r="L439" s="50">
        <v>283</v>
      </c>
    </row>
    <row r="440" spans="1:11" s="50" customFormat="1" ht="13.5" customHeight="1" hidden="1">
      <c r="A440" s="122"/>
      <c r="B440" s="44" t="s">
        <v>384</v>
      </c>
      <c r="C440" s="45">
        <v>16</v>
      </c>
      <c r="D440" s="36" t="s">
        <v>380</v>
      </c>
      <c r="E440" s="104" t="s">
        <v>139</v>
      </c>
      <c r="F440" s="47">
        <f>1.58*1.03</f>
        <v>1.6274000000000002</v>
      </c>
      <c r="G440" s="38">
        <f>E440*F440</f>
        <v>19.528800000000004</v>
      </c>
      <c r="H440" s="40">
        <f>I440/(1000/G440)</f>
        <v>776.2698000000001</v>
      </c>
      <c r="I440" s="41">
        <v>39750</v>
      </c>
      <c r="J440" s="41">
        <f>I440-260</f>
        <v>39490</v>
      </c>
      <c r="K440" s="168"/>
    </row>
    <row r="441" spans="1:11" s="50" customFormat="1" ht="13.5" customHeight="1" hidden="1">
      <c r="A441" s="122"/>
      <c r="B441" s="44" t="s">
        <v>385</v>
      </c>
      <c r="C441" s="45">
        <v>18</v>
      </c>
      <c r="D441" s="36"/>
      <c r="E441" s="104" t="s">
        <v>141</v>
      </c>
      <c r="F441" s="47">
        <f>2*1.03</f>
        <v>2.06</v>
      </c>
      <c r="G441" s="47">
        <f>E441*F441</f>
        <v>24.102</v>
      </c>
      <c r="H441" s="40">
        <f>I441/(1000/G441)</f>
        <v>958.0545</v>
      </c>
      <c r="I441" s="41">
        <v>39750</v>
      </c>
      <c r="J441" s="41">
        <f>I441-260</f>
        <v>39490</v>
      </c>
      <c r="K441" s="42"/>
    </row>
    <row r="442" spans="1:11" s="50" customFormat="1" ht="13.5" customHeight="1" hidden="1">
      <c r="A442" s="122"/>
      <c r="B442" s="108" t="s">
        <v>386</v>
      </c>
      <c r="C442" s="45">
        <v>20</v>
      </c>
      <c r="D442" s="36" t="s">
        <v>380</v>
      </c>
      <c r="E442" s="205" t="s">
        <v>48</v>
      </c>
      <c r="F442" s="47">
        <f>2.47*1.03</f>
        <v>2.5441000000000003</v>
      </c>
      <c r="G442" s="118"/>
      <c r="H442" s="113"/>
      <c r="I442" s="41">
        <v>39750</v>
      </c>
      <c r="J442" s="41">
        <f>I442-260</f>
        <v>39490</v>
      </c>
      <c r="K442" s="110"/>
    </row>
    <row r="443" spans="1:12" s="50" customFormat="1" ht="13.5" customHeight="1">
      <c r="A443" s="120"/>
      <c r="B443" s="44" t="s">
        <v>386</v>
      </c>
      <c r="C443" s="45">
        <v>20</v>
      </c>
      <c r="D443" s="36" t="s">
        <v>380</v>
      </c>
      <c r="E443" s="46">
        <v>11.7</v>
      </c>
      <c r="F443" s="47">
        <f>2.47*1.03</f>
        <v>2.5441000000000003</v>
      </c>
      <c r="G443" s="47">
        <f>E443*F443</f>
        <v>29.76597</v>
      </c>
      <c r="H443" s="40">
        <f>I443/(1000/G443)</f>
        <v>1183.1973074999999</v>
      </c>
      <c r="I443" s="41">
        <v>39750</v>
      </c>
      <c r="J443" s="41"/>
      <c r="K443" s="63"/>
      <c r="L443" s="50">
        <v>283</v>
      </c>
    </row>
    <row r="444" spans="1:11" s="50" customFormat="1" ht="13.5" customHeight="1" hidden="1">
      <c r="A444" s="120"/>
      <c r="B444" s="44" t="s">
        <v>387</v>
      </c>
      <c r="C444" s="45">
        <v>22</v>
      </c>
      <c r="D444" s="36" t="s">
        <v>380</v>
      </c>
      <c r="E444" s="46">
        <v>11.7</v>
      </c>
      <c r="F444" s="47">
        <f>2.98*1.04</f>
        <v>3.0992</v>
      </c>
      <c r="G444" s="47">
        <f>E444*F444</f>
        <v>36.26064</v>
      </c>
      <c r="H444" s="40">
        <f>I444/(1000/G444)</f>
        <v>988.1024400000001</v>
      </c>
      <c r="I444" s="41">
        <v>27250</v>
      </c>
      <c r="J444" s="40">
        <f>I444-240</f>
        <v>27010</v>
      </c>
      <c r="K444" s="64"/>
    </row>
    <row r="445" spans="1:11" s="50" customFormat="1" ht="13.5" customHeight="1" hidden="1">
      <c r="A445" s="122"/>
      <c r="B445" s="44" t="s">
        <v>388</v>
      </c>
      <c r="C445" s="45">
        <v>25</v>
      </c>
      <c r="D445" s="36"/>
      <c r="E445" s="46">
        <v>11.7</v>
      </c>
      <c r="F445" s="47">
        <f>3.85*1.032</f>
        <v>3.9732000000000003</v>
      </c>
      <c r="G445" s="47">
        <f>E445*F445</f>
        <v>46.48644</v>
      </c>
      <c r="H445" s="40">
        <f>I445/(1000/G445)</f>
        <v>1266.75549</v>
      </c>
      <c r="I445" s="41">
        <v>27250</v>
      </c>
      <c r="J445" s="40">
        <f>I445-240</f>
        <v>27010</v>
      </c>
      <c r="K445" s="64"/>
    </row>
    <row r="446" spans="1:11" s="50" customFormat="1" ht="13.5" customHeight="1" hidden="1">
      <c r="A446" s="122"/>
      <c r="B446" s="44" t="s">
        <v>389</v>
      </c>
      <c r="C446" s="45">
        <v>28</v>
      </c>
      <c r="D446" s="36"/>
      <c r="E446" s="46">
        <v>11.7</v>
      </c>
      <c r="F446" s="47">
        <v>4.83</v>
      </c>
      <c r="G446" s="47">
        <f>E446*F446</f>
        <v>56.510999999999996</v>
      </c>
      <c r="H446" s="40">
        <f>I446/(1000/G446)</f>
        <v>1539.92475</v>
      </c>
      <c r="I446" s="41">
        <v>27250</v>
      </c>
      <c r="J446" s="40">
        <f>I446-240</f>
        <v>27010</v>
      </c>
      <c r="K446" s="64"/>
    </row>
    <row r="447" spans="1:11" s="50" customFormat="1" ht="13.5" customHeight="1" hidden="1">
      <c r="A447" s="122"/>
      <c r="B447" s="108" t="s">
        <v>390</v>
      </c>
      <c r="C447" s="109">
        <v>32</v>
      </c>
      <c r="D447" s="117"/>
      <c r="E447" s="111">
        <v>11.7</v>
      </c>
      <c r="F447" s="118">
        <v>6.31</v>
      </c>
      <c r="G447" s="118">
        <f>E447*F447</f>
        <v>73.82699999999998</v>
      </c>
      <c r="H447" s="113">
        <f>I447/(1000/G447)</f>
        <v>2011.7857499999996</v>
      </c>
      <c r="I447" s="41">
        <v>27250</v>
      </c>
      <c r="J447" s="113"/>
      <c r="K447" s="121"/>
    </row>
    <row r="448" spans="1:12" s="48" customFormat="1" ht="21" customHeight="1">
      <c r="A448" s="120"/>
      <c r="B448" s="28" t="s">
        <v>391</v>
      </c>
      <c r="C448" s="30"/>
      <c r="D448" s="30"/>
      <c r="E448" s="30"/>
      <c r="F448" s="30"/>
      <c r="G448" s="30"/>
      <c r="H448" s="30"/>
      <c r="I448" s="30"/>
      <c r="J448" s="30"/>
      <c r="K448" s="66"/>
      <c r="L448" s="48">
        <v>284</v>
      </c>
    </row>
    <row r="449" spans="1:12" s="48" customFormat="1" ht="13.5" customHeight="1">
      <c r="A449" s="120"/>
      <c r="B449" s="44" t="s">
        <v>392</v>
      </c>
      <c r="C449" s="45">
        <v>6</v>
      </c>
      <c r="D449" s="36" t="s">
        <v>87</v>
      </c>
      <c r="E449" s="46">
        <v>6</v>
      </c>
      <c r="F449" s="47">
        <f>0.222*1.07</f>
        <v>0.23754000000000003</v>
      </c>
      <c r="G449" s="47">
        <f>E449*F449</f>
        <v>1.42524</v>
      </c>
      <c r="H449" s="40">
        <f>I449/(1000/G449)</f>
        <v>65.5467876</v>
      </c>
      <c r="I449" s="40">
        <v>45990</v>
      </c>
      <c r="J449" s="40"/>
      <c r="K449" s="63"/>
      <c r="L449" s="48">
        <v>284</v>
      </c>
    </row>
    <row r="450" spans="1:11" s="50" customFormat="1" ht="13.5" customHeight="1" hidden="1">
      <c r="A450" s="122"/>
      <c r="B450" s="44" t="s">
        <v>393</v>
      </c>
      <c r="C450" s="45">
        <v>7</v>
      </c>
      <c r="D450" s="36" t="s">
        <v>87</v>
      </c>
      <c r="E450" s="46">
        <v>6</v>
      </c>
      <c r="F450" s="47">
        <f>0.26*1.07</f>
        <v>0.2782</v>
      </c>
      <c r="G450" s="47">
        <f>E450*F450</f>
        <v>1.6692</v>
      </c>
      <c r="H450" s="40">
        <f>I450/(1000/G450)</f>
        <v>66.751308</v>
      </c>
      <c r="I450" s="40">
        <v>39990</v>
      </c>
      <c r="J450" s="40"/>
      <c r="K450" s="197"/>
    </row>
    <row r="451" spans="1:11" s="48" customFormat="1" ht="13.5" customHeight="1" hidden="1">
      <c r="A451" s="120"/>
      <c r="B451" s="44" t="s">
        <v>393</v>
      </c>
      <c r="C451" s="45">
        <v>7</v>
      </c>
      <c r="D451" s="36" t="s">
        <v>87</v>
      </c>
      <c r="E451" s="46">
        <v>9</v>
      </c>
      <c r="F451" s="47">
        <f>0.26*1.07</f>
        <v>0.2782</v>
      </c>
      <c r="G451" s="47">
        <f>E451*F451</f>
        <v>2.5038</v>
      </c>
      <c r="H451" s="40">
        <f>I451/(1000/G451)</f>
        <v>112.64596200000001</v>
      </c>
      <c r="I451" s="40">
        <v>44990</v>
      </c>
      <c r="J451" s="40"/>
      <c r="K451" s="209"/>
    </row>
    <row r="452" spans="1:11" s="48" customFormat="1" ht="13.5" customHeight="1" hidden="1">
      <c r="A452" s="120"/>
      <c r="B452" s="44" t="s">
        <v>393</v>
      </c>
      <c r="C452" s="45"/>
      <c r="D452" s="36" t="s">
        <v>87</v>
      </c>
      <c r="E452" s="104" t="s">
        <v>379</v>
      </c>
      <c r="F452" s="47"/>
      <c r="G452" s="40"/>
      <c r="H452" s="40"/>
      <c r="I452" s="40">
        <v>44990</v>
      </c>
      <c r="J452" s="40"/>
      <c r="K452" s="209"/>
    </row>
    <row r="453" spans="1:12" s="48" customFormat="1" ht="13.5" customHeight="1">
      <c r="A453" s="120"/>
      <c r="B453" s="44" t="s">
        <v>394</v>
      </c>
      <c r="C453" s="45">
        <v>8</v>
      </c>
      <c r="D453" s="36" t="s">
        <v>87</v>
      </c>
      <c r="E453" s="104" t="s">
        <v>56</v>
      </c>
      <c r="F453" s="47">
        <f>0.395*1.063</f>
        <v>0.419885</v>
      </c>
      <c r="G453" s="47">
        <f>E453*F453</f>
        <v>2.51931</v>
      </c>
      <c r="H453" s="40">
        <f>I453/(1000/G453)</f>
        <v>108.3051369</v>
      </c>
      <c r="I453" s="40">
        <v>42990</v>
      </c>
      <c r="J453" s="40"/>
      <c r="K453" s="42"/>
      <c r="L453" s="48">
        <v>284</v>
      </c>
    </row>
    <row r="454" spans="1:11" s="48" customFormat="1" ht="13.5" customHeight="1" hidden="1">
      <c r="A454" s="120"/>
      <c r="B454" s="44" t="s">
        <v>394</v>
      </c>
      <c r="C454" s="45">
        <v>8</v>
      </c>
      <c r="D454" s="36" t="s">
        <v>87</v>
      </c>
      <c r="E454" s="104" t="s">
        <v>256</v>
      </c>
      <c r="F454" s="47">
        <f>0.395*1.063</f>
        <v>0.419885</v>
      </c>
      <c r="G454" s="47">
        <f>E454*F454</f>
        <v>3.778965</v>
      </c>
      <c r="H454" s="40">
        <f>I454/(1000/G454)</f>
        <v>122.77857285</v>
      </c>
      <c r="I454" s="40">
        <v>32490</v>
      </c>
      <c r="J454" s="40"/>
      <c r="K454" s="64"/>
    </row>
    <row r="455" spans="1:11" s="48" customFormat="1" ht="13.5" customHeight="1" hidden="1">
      <c r="A455" s="120"/>
      <c r="B455" s="44" t="s">
        <v>394</v>
      </c>
      <c r="C455" s="45">
        <v>8</v>
      </c>
      <c r="D455" s="36" t="s">
        <v>87</v>
      </c>
      <c r="E455" s="104" t="s">
        <v>141</v>
      </c>
      <c r="F455" s="47">
        <v>0.395</v>
      </c>
      <c r="G455" s="40">
        <v>860</v>
      </c>
      <c r="H455" s="40">
        <f>I455/(1000/G455)</f>
        <v>27941.399999999998</v>
      </c>
      <c r="I455" s="40">
        <v>32490</v>
      </c>
      <c r="J455" s="40">
        <f>I455-240</f>
        <v>32250</v>
      </c>
      <c r="K455" s="64"/>
    </row>
    <row r="456" spans="1:11" s="48" customFormat="1" ht="13.5" customHeight="1" hidden="1">
      <c r="A456" s="120"/>
      <c r="B456" s="44" t="s">
        <v>394</v>
      </c>
      <c r="C456" s="45">
        <v>8</v>
      </c>
      <c r="D456" s="36" t="s">
        <v>87</v>
      </c>
      <c r="E456" s="104" t="s">
        <v>379</v>
      </c>
      <c r="F456" s="47"/>
      <c r="G456" s="40">
        <v>850</v>
      </c>
      <c r="H456" s="40">
        <f>I456/(1000/G456)</f>
        <v>27616.5</v>
      </c>
      <c r="I456" s="40">
        <v>32490</v>
      </c>
      <c r="J456" s="40">
        <f>I456-240</f>
        <v>32250</v>
      </c>
      <c r="K456" s="64"/>
    </row>
    <row r="457" spans="1:11" s="48" customFormat="1" ht="13.5" customHeight="1" hidden="1">
      <c r="A457" s="120"/>
      <c r="B457" s="108" t="s">
        <v>395</v>
      </c>
      <c r="C457" s="109">
        <v>8</v>
      </c>
      <c r="D457" s="117" t="s">
        <v>87</v>
      </c>
      <c r="E457" s="132" t="s">
        <v>379</v>
      </c>
      <c r="F457" s="118"/>
      <c r="G457" s="113">
        <v>850</v>
      </c>
      <c r="H457" s="113">
        <f>I457/(1000/G457)</f>
        <v>27616.5</v>
      </c>
      <c r="I457" s="113">
        <v>32490</v>
      </c>
      <c r="J457" s="113">
        <f>I457-240</f>
        <v>32250</v>
      </c>
      <c r="K457" s="121"/>
    </row>
    <row r="458" spans="1:12" s="48" customFormat="1" ht="21" customHeight="1">
      <c r="A458" s="120"/>
      <c r="B458" s="28" t="s">
        <v>396</v>
      </c>
      <c r="C458" s="30"/>
      <c r="D458" s="30"/>
      <c r="E458" s="30"/>
      <c r="F458" s="30"/>
      <c r="G458" s="30"/>
      <c r="H458" s="30"/>
      <c r="I458" s="30"/>
      <c r="J458" s="30"/>
      <c r="K458" s="66"/>
      <c r="L458" s="48">
        <v>282</v>
      </c>
    </row>
    <row r="459" spans="1:11" s="48" customFormat="1" ht="13.5" customHeight="1" hidden="1">
      <c r="A459" s="120"/>
      <c r="B459" s="44" t="s">
        <v>397</v>
      </c>
      <c r="C459" s="45">
        <v>7</v>
      </c>
      <c r="D459" s="36">
        <v>20</v>
      </c>
      <c r="E459" s="104" t="s">
        <v>48</v>
      </c>
      <c r="F459" s="123">
        <f>0.302*1.04</f>
        <v>0.31408</v>
      </c>
      <c r="G459" s="47"/>
      <c r="H459" s="41"/>
      <c r="I459" s="40">
        <v>59990</v>
      </c>
      <c r="J459" s="41"/>
      <c r="K459" s="42" t="s">
        <v>398</v>
      </c>
    </row>
    <row r="460" spans="1:11" s="48" customFormat="1" ht="13.5" customHeight="1" hidden="1">
      <c r="A460" s="120"/>
      <c r="B460" s="44" t="s">
        <v>399</v>
      </c>
      <c r="C460" s="45">
        <v>10</v>
      </c>
      <c r="D460" s="36" t="s">
        <v>400</v>
      </c>
      <c r="E460" s="252">
        <v>6</v>
      </c>
      <c r="F460" s="123">
        <f>0.616*1.06</f>
        <v>0.65296</v>
      </c>
      <c r="G460" s="47">
        <f>E460*F460</f>
        <v>3.91776</v>
      </c>
      <c r="H460" s="41">
        <f>I460/(1000/G460)</f>
        <v>166.4656224</v>
      </c>
      <c r="I460" s="40">
        <v>42490</v>
      </c>
      <c r="J460" s="40"/>
      <c r="K460" s="64"/>
    </row>
    <row r="461" spans="1:11" s="48" customFormat="1" ht="13.5" customHeight="1" hidden="1">
      <c r="A461" s="120"/>
      <c r="B461" s="44" t="s">
        <v>399</v>
      </c>
      <c r="C461" s="45">
        <v>10</v>
      </c>
      <c r="D461" s="36" t="s">
        <v>400</v>
      </c>
      <c r="E461" s="252">
        <v>9</v>
      </c>
      <c r="F461" s="123">
        <f>0.616*1.06</f>
        <v>0.65296</v>
      </c>
      <c r="G461" s="47">
        <f>E461*F461</f>
        <v>5.87664</v>
      </c>
      <c r="H461" s="41">
        <f>I461/(1000/G461)</f>
        <v>204.21323999999998</v>
      </c>
      <c r="I461" s="40">
        <v>34750</v>
      </c>
      <c r="J461" s="40"/>
      <c r="K461" s="64"/>
    </row>
    <row r="462" spans="1:12" s="50" customFormat="1" ht="13.5" customHeight="1">
      <c r="A462" s="122"/>
      <c r="B462" s="44" t="s">
        <v>399</v>
      </c>
      <c r="C462" s="45">
        <v>10</v>
      </c>
      <c r="D462" s="36" t="s">
        <v>400</v>
      </c>
      <c r="E462" s="104" t="s">
        <v>141</v>
      </c>
      <c r="F462" s="123">
        <f>0.616*1.06</f>
        <v>0.65296</v>
      </c>
      <c r="G462" s="47">
        <f>E462*F462</f>
        <v>7.639632</v>
      </c>
      <c r="H462" s="41">
        <f>I462/(1000/G462)</f>
        <v>320.78814768</v>
      </c>
      <c r="I462" s="40">
        <v>41990</v>
      </c>
      <c r="J462" s="40"/>
      <c r="K462" s="42"/>
      <c r="L462" s="50">
        <v>282</v>
      </c>
    </row>
    <row r="463" spans="1:11" s="48" customFormat="1" ht="13.5" customHeight="1" hidden="1">
      <c r="A463" s="120"/>
      <c r="B463" s="44" t="s">
        <v>399</v>
      </c>
      <c r="C463" s="45">
        <v>10</v>
      </c>
      <c r="D463" s="36" t="s">
        <v>400</v>
      </c>
      <c r="E463" s="104" t="s">
        <v>139</v>
      </c>
      <c r="F463" s="123">
        <f>0.616*1.06</f>
        <v>0.65296</v>
      </c>
      <c r="G463" s="47">
        <f>E463*F463</f>
        <v>7.83552</v>
      </c>
      <c r="H463" s="41">
        <f>I463/(1000/G463)</f>
        <v>272.28432</v>
      </c>
      <c r="I463" s="40">
        <v>34750</v>
      </c>
      <c r="J463" s="40"/>
      <c r="K463" s="171"/>
    </row>
    <row r="464" spans="1:11" s="48" customFormat="1" ht="13.5" customHeight="1" hidden="1">
      <c r="A464" s="120"/>
      <c r="B464" s="44" t="s">
        <v>401</v>
      </c>
      <c r="C464" s="45">
        <v>10</v>
      </c>
      <c r="D464" s="36" t="s">
        <v>87</v>
      </c>
      <c r="E464" s="104" t="s">
        <v>48</v>
      </c>
      <c r="F464" s="47">
        <f>0.89*1.04</f>
        <v>0.9256000000000001</v>
      </c>
      <c r="G464" s="47"/>
      <c r="H464" s="41"/>
      <c r="I464" s="40">
        <v>34750</v>
      </c>
      <c r="J464" s="40">
        <f>I464-240</f>
        <v>34510</v>
      </c>
      <c r="K464" s="171"/>
    </row>
    <row r="465" spans="1:11" s="48" customFormat="1" ht="13.5" customHeight="1" hidden="1">
      <c r="A465" s="120"/>
      <c r="B465" s="44" t="s">
        <v>401</v>
      </c>
      <c r="C465" s="45">
        <v>12</v>
      </c>
      <c r="D465" s="36" t="s">
        <v>87</v>
      </c>
      <c r="E465" s="46">
        <v>6</v>
      </c>
      <c r="F465" s="123">
        <f>0.888*1.05</f>
        <v>0.9324</v>
      </c>
      <c r="G465" s="47">
        <f>E465*F465*1.04</f>
        <v>5.818176</v>
      </c>
      <c r="H465" s="41">
        <f aca="true" t="shared" si="29" ref="H465:H470">I465/(1000/G465)</f>
        <v>237.090672</v>
      </c>
      <c r="I465" s="40">
        <v>40750</v>
      </c>
      <c r="J465" s="40"/>
      <c r="K465" s="171"/>
    </row>
    <row r="466" spans="1:12" s="48" customFormat="1" ht="13.5" customHeight="1">
      <c r="A466" s="120"/>
      <c r="B466" s="44" t="s">
        <v>401</v>
      </c>
      <c r="C466" s="45">
        <v>12</v>
      </c>
      <c r="D466" s="36" t="s">
        <v>400</v>
      </c>
      <c r="E466" s="104" t="s">
        <v>141</v>
      </c>
      <c r="F466" s="123">
        <f>0.888*1.05</f>
        <v>0.9324</v>
      </c>
      <c r="G466" s="47">
        <f>E466*F466</f>
        <v>10.90908</v>
      </c>
      <c r="H466" s="41">
        <f t="shared" si="29"/>
        <v>452.6177292</v>
      </c>
      <c r="I466" s="40">
        <v>41490</v>
      </c>
      <c r="J466" s="40"/>
      <c r="K466" s="237"/>
      <c r="L466" s="48">
        <v>282</v>
      </c>
    </row>
    <row r="467" spans="1:11" s="50" customFormat="1" ht="13.5" customHeight="1" hidden="1">
      <c r="A467" s="122"/>
      <c r="B467" s="44" t="s">
        <v>401</v>
      </c>
      <c r="C467" s="45">
        <v>12</v>
      </c>
      <c r="D467" s="36" t="s">
        <v>400</v>
      </c>
      <c r="E467" s="104" t="s">
        <v>141</v>
      </c>
      <c r="F467" s="123">
        <f>0.888*1.05</f>
        <v>0.9324</v>
      </c>
      <c r="G467" s="47">
        <f>E467*F467</f>
        <v>10.90908</v>
      </c>
      <c r="H467" s="41">
        <f t="shared" si="29"/>
        <v>419.8904892</v>
      </c>
      <c r="I467" s="40">
        <v>38490</v>
      </c>
      <c r="J467" s="40"/>
      <c r="K467" s="184"/>
    </row>
    <row r="468" spans="1:11" s="48" customFormat="1" ht="13.5" customHeight="1" hidden="1">
      <c r="A468" s="120"/>
      <c r="B468" s="44" t="s">
        <v>401</v>
      </c>
      <c r="C468" s="45">
        <v>12</v>
      </c>
      <c r="D468" s="36" t="s">
        <v>400</v>
      </c>
      <c r="E468" s="104" t="s">
        <v>141</v>
      </c>
      <c r="F468" s="123">
        <f>0.888*1.05</f>
        <v>0.9324</v>
      </c>
      <c r="G468" s="47">
        <f>E468*F468</f>
        <v>10.90908</v>
      </c>
      <c r="H468" s="41">
        <f t="shared" si="29"/>
        <v>419.8904892</v>
      </c>
      <c r="I468" s="40">
        <v>38490</v>
      </c>
      <c r="J468" s="40"/>
      <c r="K468" s="237"/>
    </row>
    <row r="469" spans="1:11" s="48" customFormat="1" ht="13.5" customHeight="1" hidden="1">
      <c r="A469" s="120"/>
      <c r="B469" s="44" t="s">
        <v>402</v>
      </c>
      <c r="C469" s="45">
        <v>14</v>
      </c>
      <c r="D469" s="36" t="s">
        <v>285</v>
      </c>
      <c r="E469" s="104" t="s">
        <v>56</v>
      </c>
      <c r="F469" s="47">
        <f>1.21*1.04</f>
        <v>1.2584</v>
      </c>
      <c r="G469" s="47">
        <f>E469*F469</f>
        <v>7.5504</v>
      </c>
      <c r="H469" s="41">
        <f t="shared" si="29"/>
        <v>290.614896</v>
      </c>
      <c r="I469" s="40">
        <v>38490</v>
      </c>
      <c r="J469" s="40"/>
      <c r="K469" s="64"/>
    </row>
    <row r="470" spans="1:12" s="48" customFormat="1" ht="13.5" customHeight="1">
      <c r="A470" s="120"/>
      <c r="B470" s="44" t="s">
        <v>402</v>
      </c>
      <c r="C470" s="45">
        <v>14</v>
      </c>
      <c r="D470" s="36" t="s">
        <v>400</v>
      </c>
      <c r="E470" s="46">
        <v>11.7</v>
      </c>
      <c r="F470" s="47">
        <f>1.21*1.04</f>
        <v>1.2584</v>
      </c>
      <c r="G470" s="47">
        <f>E470*F470</f>
        <v>14.723279999999999</v>
      </c>
      <c r="H470" s="41">
        <f t="shared" si="29"/>
        <v>640.3154472</v>
      </c>
      <c r="I470" s="40">
        <v>43490</v>
      </c>
      <c r="J470" s="40"/>
      <c r="K470" s="42"/>
      <c r="L470" s="48">
        <v>282</v>
      </c>
    </row>
    <row r="471" spans="1:11" s="48" customFormat="1" ht="13.5" customHeight="1" hidden="1">
      <c r="A471" s="120"/>
      <c r="B471" s="44" t="s">
        <v>403</v>
      </c>
      <c r="C471" s="45">
        <v>12</v>
      </c>
      <c r="D471" s="36" t="s">
        <v>400</v>
      </c>
      <c r="E471" s="104" t="s">
        <v>48</v>
      </c>
      <c r="F471" s="47">
        <v>1.58</v>
      </c>
      <c r="G471" s="47"/>
      <c r="H471" s="41"/>
      <c r="I471" s="40">
        <v>38490</v>
      </c>
      <c r="J471" s="40">
        <f>I471-240</f>
        <v>38250</v>
      </c>
      <c r="K471" s="64"/>
    </row>
    <row r="472" spans="1:11" s="48" customFormat="1" ht="13.5" customHeight="1" hidden="1">
      <c r="A472" s="120"/>
      <c r="B472" s="44" t="s">
        <v>403</v>
      </c>
      <c r="C472" s="45">
        <v>16</v>
      </c>
      <c r="D472" s="36" t="s">
        <v>400</v>
      </c>
      <c r="E472" s="46">
        <v>6</v>
      </c>
      <c r="F472" s="47">
        <f>1.58*1.038</f>
        <v>1.6400400000000002</v>
      </c>
      <c r="G472" s="47">
        <f>E472*F472</f>
        <v>9.840240000000001</v>
      </c>
      <c r="H472" s="41">
        <f>I472/(1000/G472)</f>
        <v>378.75083760000007</v>
      </c>
      <c r="I472" s="40">
        <v>38490</v>
      </c>
      <c r="J472" s="40"/>
      <c r="K472" s="64"/>
    </row>
    <row r="473" spans="1:11" s="50" customFormat="1" ht="13.5" customHeight="1" hidden="1">
      <c r="A473" s="122"/>
      <c r="B473" s="44" t="s">
        <v>403</v>
      </c>
      <c r="C473" s="45">
        <v>16</v>
      </c>
      <c r="D473" s="36" t="s">
        <v>400</v>
      </c>
      <c r="E473" s="46">
        <v>5.7</v>
      </c>
      <c r="F473" s="47">
        <f>1.58*1.038</f>
        <v>1.6400400000000002</v>
      </c>
      <c r="G473" s="47">
        <f>E473*F473</f>
        <v>9.348228</v>
      </c>
      <c r="H473" s="41">
        <f>I473/(1000/G473)</f>
        <v>359.81329572000004</v>
      </c>
      <c r="I473" s="40">
        <v>38490</v>
      </c>
      <c r="J473" s="40"/>
      <c r="K473" s="42"/>
    </row>
    <row r="474" spans="1:12" s="50" customFormat="1" ht="13.5" customHeight="1">
      <c r="A474" s="122"/>
      <c r="B474" s="44" t="s">
        <v>403</v>
      </c>
      <c r="C474" s="45">
        <v>16</v>
      </c>
      <c r="D474" s="36" t="s">
        <v>400</v>
      </c>
      <c r="E474" s="46">
        <v>11.7</v>
      </c>
      <c r="F474" s="47">
        <f>1.58*1.038</f>
        <v>1.6400400000000002</v>
      </c>
      <c r="G474" s="47">
        <f>E474*F474</f>
        <v>19.188468</v>
      </c>
      <c r="H474" s="41">
        <f>I474/(1000/G474)</f>
        <v>805.72377132</v>
      </c>
      <c r="I474" s="40">
        <v>41990</v>
      </c>
      <c r="J474" s="40"/>
      <c r="K474" s="42"/>
      <c r="L474" s="50">
        <v>282</v>
      </c>
    </row>
    <row r="475" spans="1:11" s="50" customFormat="1" ht="13.5" customHeight="1" hidden="1">
      <c r="A475" s="122"/>
      <c r="B475" s="44" t="s">
        <v>404</v>
      </c>
      <c r="C475" s="45">
        <v>18</v>
      </c>
      <c r="D475" s="36" t="s">
        <v>400</v>
      </c>
      <c r="E475" s="46">
        <v>6</v>
      </c>
      <c r="F475" s="47">
        <f>2*1.033</f>
        <v>2.066</v>
      </c>
      <c r="G475" s="47">
        <f>E475*F475</f>
        <v>12.395999999999999</v>
      </c>
      <c r="H475" s="41">
        <f>I475/(1000/G475)</f>
        <v>576.29004</v>
      </c>
      <c r="I475" s="40">
        <v>46490</v>
      </c>
      <c r="J475" s="40"/>
      <c r="K475" s="64"/>
    </row>
    <row r="476" spans="1:12" s="50" customFormat="1" ht="13.5" customHeight="1">
      <c r="A476" s="122"/>
      <c r="B476" s="44" t="s">
        <v>404</v>
      </c>
      <c r="C476" s="45">
        <v>18</v>
      </c>
      <c r="D476" s="36" t="s">
        <v>400</v>
      </c>
      <c r="E476" s="46">
        <v>12</v>
      </c>
      <c r="F476" s="47">
        <f>2*1.033</f>
        <v>2.066</v>
      </c>
      <c r="G476" s="47">
        <f>E476*F476</f>
        <v>24.791999999999998</v>
      </c>
      <c r="H476" s="41">
        <f>I476/(1000/G476)</f>
        <v>1090.60008</v>
      </c>
      <c r="I476" s="40">
        <v>43990</v>
      </c>
      <c r="J476" s="40"/>
      <c r="K476" s="42"/>
      <c r="L476" s="50">
        <v>282</v>
      </c>
    </row>
    <row r="477" spans="1:11" s="50" customFormat="1" ht="14.25" customHeight="1" hidden="1">
      <c r="A477" s="122"/>
      <c r="B477" s="44" t="s">
        <v>405</v>
      </c>
      <c r="C477" s="45">
        <v>20</v>
      </c>
      <c r="D477" s="36" t="s">
        <v>400</v>
      </c>
      <c r="E477" s="46" t="s">
        <v>48</v>
      </c>
      <c r="F477" s="47">
        <f>2.47*1.04</f>
        <v>2.5688000000000004</v>
      </c>
      <c r="G477" s="47"/>
      <c r="H477" s="41"/>
      <c r="I477" s="40">
        <v>40490</v>
      </c>
      <c r="J477" s="40">
        <f>I477-240</f>
        <v>40250</v>
      </c>
      <c r="K477" s="64"/>
    </row>
    <row r="478" spans="1:11" s="50" customFormat="1" ht="14.25" customHeight="1" hidden="1">
      <c r="A478" s="122"/>
      <c r="B478" s="44" t="s">
        <v>405</v>
      </c>
      <c r="C478" s="45">
        <v>20</v>
      </c>
      <c r="D478" s="36" t="s">
        <v>400</v>
      </c>
      <c r="E478" s="46">
        <v>6</v>
      </c>
      <c r="F478" s="47">
        <f>2.47*1.04</f>
        <v>2.5688000000000004</v>
      </c>
      <c r="G478" s="47">
        <f aca="true" t="shared" si="30" ref="G478:G487">E478*F478</f>
        <v>15.412800000000002</v>
      </c>
      <c r="H478" s="40">
        <f aca="true" t="shared" si="31" ref="H478:H487">I478/(1000/G478)</f>
        <v>624.0642720000001</v>
      </c>
      <c r="I478" s="40">
        <v>40490</v>
      </c>
      <c r="J478" s="40"/>
      <c r="K478" s="64"/>
    </row>
    <row r="479" spans="1:12" s="50" customFormat="1" ht="13.5" customHeight="1">
      <c r="A479" s="122"/>
      <c r="B479" s="44" t="s">
        <v>405</v>
      </c>
      <c r="C479" s="45">
        <v>20</v>
      </c>
      <c r="D479" s="36" t="s">
        <v>400</v>
      </c>
      <c r="E479" s="46">
        <v>11.7</v>
      </c>
      <c r="F479" s="47">
        <f>2.47*1.04</f>
        <v>2.5688000000000004</v>
      </c>
      <c r="G479" s="47">
        <f t="shared" si="30"/>
        <v>30.054960000000005</v>
      </c>
      <c r="H479" s="40">
        <f t="shared" si="31"/>
        <v>1292.0627304000002</v>
      </c>
      <c r="I479" s="40">
        <v>42990</v>
      </c>
      <c r="J479" s="40"/>
      <c r="K479" s="42"/>
      <c r="L479" s="50">
        <v>282</v>
      </c>
    </row>
    <row r="480" spans="1:11" s="48" customFormat="1" ht="13.5" customHeight="1" hidden="1">
      <c r="A480" s="120"/>
      <c r="B480" s="44" t="s">
        <v>406</v>
      </c>
      <c r="C480" s="45">
        <v>22</v>
      </c>
      <c r="D480" s="36" t="s">
        <v>400</v>
      </c>
      <c r="E480" s="46">
        <v>6</v>
      </c>
      <c r="F480" s="47">
        <f>2.98*1.036</f>
        <v>3.0872800000000002</v>
      </c>
      <c r="G480" s="47">
        <f t="shared" si="30"/>
        <v>18.523680000000002</v>
      </c>
      <c r="H480" s="41">
        <f t="shared" si="31"/>
        <v>787.0711632000001</v>
      </c>
      <c r="I480" s="40">
        <v>42490</v>
      </c>
      <c r="J480" s="40"/>
      <c r="K480" s="64"/>
    </row>
    <row r="481" spans="1:11" s="48" customFormat="1" ht="13.5" customHeight="1" hidden="1">
      <c r="A481" s="120"/>
      <c r="B481" s="44" t="s">
        <v>406</v>
      </c>
      <c r="C481" s="45">
        <v>22</v>
      </c>
      <c r="D481" s="36" t="s">
        <v>400</v>
      </c>
      <c r="E481" s="46">
        <v>11.7</v>
      </c>
      <c r="F481" s="47">
        <f>2.98*1.036</f>
        <v>3.0872800000000002</v>
      </c>
      <c r="G481" s="47">
        <f t="shared" si="30"/>
        <v>36.121176</v>
      </c>
      <c r="H481" s="41">
        <f t="shared" si="31"/>
        <v>1679.2734722399998</v>
      </c>
      <c r="I481" s="40">
        <v>46490</v>
      </c>
      <c r="J481" s="40"/>
      <c r="K481" s="64"/>
    </row>
    <row r="482" spans="1:12" s="48" customFormat="1" ht="13.5" customHeight="1">
      <c r="A482" s="120"/>
      <c r="B482" s="44" t="s">
        <v>407</v>
      </c>
      <c r="C482" s="45">
        <v>24</v>
      </c>
      <c r="D482" s="36" t="s">
        <v>400</v>
      </c>
      <c r="E482" s="104" t="s">
        <v>56</v>
      </c>
      <c r="F482" s="47">
        <f>3.55*1.033</f>
        <v>3.6671499999999995</v>
      </c>
      <c r="G482" s="47">
        <f t="shared" si="30"/>
        <v>22.002899999999997</v>
      </c>
      <c r="H482" s="40">
        <f t="shared" si="31"/>
        <v>967.9075709999998</v>
      </c>
      <c r="I482" s="40">
        <v>43990</v>
      </c>
      <c r="J482" s="40"/>
      <c r="K482" s="42"/>
      <c r="L482" s="48">
        <v>282</v>
      </c>
    </row>
    <row r="483" spans="1:11" s="48" customFormat="1" ht="13.5" customHeight="1" hidden="1">
      <c r="A483" s="120"/>
      <c r="B483" s="44" t="s">
        <v>408</v>
      </c>
      <c r="C483" s="45">
        <v>25</v>
      </c>
      <c r="D483" s="36" t="s">
        <v>400</v>
      </c>
      <c r="E483" s="46">
        <v>6</v>
      </c>
      <c r="F483" s="47">
        <f>3.85*1.032</f>
        <v>3.9732000000000003</v>
      </c>
      <c r="G483" s="47">
        <f t="shared" si="30"/>
        <v>23.8392</v>
      </c>
      <c r="H483" s="40">
        <f t="shared" si="31"/>
        <v>1108.284408</v>
      </c>
      <c r="I483" s="40">
        <v>46490</v>
      </c>
      <c r="J483" s="40"/>
      <c r="K483" s="42"/>
    </row>
    <row r="484" spans="1:12" s="48" customFormat="1" ht="13.5" customHeight="1">
      <c r="A484" s="120"/>
      <c r="B484" s="44" t="s">
        <v>408</v>
      </c>
      <c r="C484" s="45">
        <v>25</v>
      </c>
      <c r="D484" s="36" t="s">
        <v>400</v>
      </c>
      <c r="E484" s="104" t="s">
        <v>139</v>
      </c>
      <c r="F484" s="47">
        <f>3.85*1.032</f>
        <v>3.9732000000000003</v>
      </c>
      <c r="G484" s="47">
        <f t="shared" si="30"/>
        <v>47.6784</v>
      </c>
      <c r="H484" s="40">
        <f t="shared" si="31"/>
        <v>2038.2516</v>
      </c>
      <c r="I484" s="40">
        <v>42750</v>
      </c>
      <c r="J484" s="40"/>
      <c r="K484" s="42"/>
      <c r="L484" s="48">
        <v>282</v>
      </c>
    </row>
    <row r="485" spans="1:11" s="48" customFormat="1" ht="13.5" customHeight="1" hidden="1">
      <c r="A485" s="120"/>
      <c r="B485" s="44" t="s">
        <v>409</v>
      </c>
      <c r="C485" s="45">
        <v>28</v>
      </c>
      <c r="D485" s="36" t="s">
        <v>400</v>
      </c>
      <c r="E485" s="104" t="s">
        <v>141</v>
      </c>
      <c r="F485" s="47">
        <f>4.83*1.03</f>
        <v>4.9749</v>
      </c>
      <c r="G485" s="47">
        <f t="shared" si="30"/>
        <v>58.206329999999994</v>
      </c>
      <c r="H485" s="41">
        <f t="shared" si="31"/>
        <v>2531.3932916999997</v>
      </c>
      <c r="I485" s="40">
        <v>43490</v>
      </c>
      <c r="J485" s="41"/>
      <c r="K485" s="64"/>
    </row>
    <row r="486" spans="1:12" s="48" customFormat="1" ht="13.5" customHeight="1">
      <c r="A486" s="120"/>
      <c r="B486" s="44" t="s">
        <v>410</v>
      </c>
      <c r="C486" s="45">
        <v>30</v>
      </c>
      <c r="D486" s="36" t="s">
        <v>400</v>
      </c>
      <c r="E486" s="104" t="s">
        <v>56</v>
      </c>
      <c r="F486" s="47">
        <f>5.55*1.03</f>
        <v>5.7165</v>
      </c>
      <c r="G486" s="47">
        <f t="shared" si="30"/>
        <v>34.299</v>
      </c>
      <c r="H486" s="41">
        <f t="shared" si="31"/>
        <v>1525.96251</v>
      </c>
      <c r="I486" s="40">
        <v>44490</v>
      </c>
      <c r="J486" s="40"/>
      <c r="K486" s="42"/>
      <c r="L486" s="48">
        <v>282</v>
      </c>
    </row>
    <row r="487" spans="1:11" s="253" customFormat="1" ht="13.5" customHeight="1" hidden="1">
      <c r="A487" s="120"/>
      <c r="B487" s="44" t="s">
        <v>411</v>
      </c>
      <c r="C487" s="45">
        <v>36</v>
      </c>
      <c r="D487" s="36" t="s">
        <v>400</v>
      </c>
      <c r="E487" s="104" t="s">
        <v>412</v>
      </c>
      <c r="F487" s="47">
        <f>7.99*1.04</f>
        <v>8.3096</v>
      </c>
      <c r="G487" s="47">
        <f t="shared" si="30"/>
        <v>39.88608</v>
      </c>
      <c r="H487" s="41">
        <f t="shared" si="31"/>
        <v>1734.6456191999998</v>
      </c>
      <c r="I487" s="40">
        <v>43490</v>
      </c>
      <c r="J487" s="40"/>
      <c r="K487" s="64"/>
    </row>
    <row r="488" spans="1:11" s="253" customFormat="1" ht="13.5" customHeight="1" hidden="1">
      <c r="A488" s="120"/>
      <c r="B488" s="44" t="s">
        <v>413</v>
      </c>
      <c r="C488" s="45">
        <v>28</v>
      </c>
      <c r="D488" s="36" t="s">
        <v>400</v>
      </c>
      <c r="E488" s="104" t="s">
        <v>48</v>
      </c>
      <c r="F488" s="47">
        <f>8.9*1.04</f>
        <v>9.256</v>
      </c>
      <c r="G488" s="47"/>
      <c r="H488" s="40"/>
      <c r="I488" s="40">
        <v>43490</v>
      </c>
      <c r="J488" s="40"/>
      <c r="K488" s="64"/>
    </row>
    <row r="489" spans="1:12" s="253" customFormat="1" ht="13.5" customHeight="1">
      <c r="A489" s="120"/>
      <c r="B489" s="44" t="s">
        <v>414</v>
      </c>
      <c r="C489" s="45">
        <v>40</v>
      </c>
      <c r="D489" s="36" t="s">
        <v>400</v>
      </c>
      <c r="E489" s="104" t="s">
        <v>56</v>
      </c>
      <c r="F489" s="47">
        <f>9.86*1.01</f>
        <v>9.958599999999999</v>
      </c>
      <c r="G489" s="47">
        <f>E489*F489</f>
        <v>59.751599999999996</v>
      </c>
      <c r="H489" s="40">
        <f>I489/(1000/G489)</f>
        <v>2867.4792839999996</v>
      </c>
      <c r="I489" s="40">
        <v>47990</v>
      </c>
      <c r="J489" s="40"/>
      <c r="K489" s="64"/>
      <c r="L489" s="253">
        <v>282</v>
      </c>
    </row>
    <row r="490" spans="1:11" s="253" customFormat="1" ht="13.5" customHeight="1" hidden="1">
      <c r="A490" s="120"/>
      <c r="B490" s="44" t="s">
        <v>415</v>
      </c>
      <c r="C490" s="45">
        <v>42</v>
      </c>
      <c r="D490" s="36" t="s">
        <v>400</v>
      </c>
      <c r="E490" s="46"/>
      <c r="F490" s="47"/>
      <c r="G490" s="47"/>
      <c r="H490" s="40"/>
      <c r="I490" s="40">
        <v>43490</v>
      </c>
      <c r="J490" s="40"/>
      <c r="K490" s="64"/>
    </row>
    <row r="491" spans="1:11" s="253" customFormat="1" ht="13.5" customHeight="1" hidden="1">
      <c r="A491" s="120"/>
      <c r="B491" s="44" t="s">
        <v>416</v>
      </c>
      <c r="C491" s="45">
        <v>33</v>
      </c>
      <c r="D491" s="36" t="s">
        <v>400</v>
      </c>
      <c r="E491" s="104" t="s">
        <v>48</v>
      </c>
      <c r="F491" s="47">
        <f>12.5*1.04</f>
        <v>13</v>
      </c>
      <c r="G491" s="47"/>
      <c r="H491" s="40"/>
      <c r="I491" s="40">
        <v>43490</v>
      </c>
      <c r="J491" s="40"/>
      <c r="K491" s="64"/>
    </row>
    <row r="492" spans="1:11" s="253" customFormat="1" ht="13.5" customHeight="1" hidden="1">
      <c r="A492" s="120"/>
      <c r="B492" s="44" t="s">
        <v>417</v>
      </c>
      <c r="C492" s="45">
        <v>24</v>
      </c>
      <c r="D492" s="36" t="s">
        <v>400</v>
      </c>
      <c r="E492" s="46">
        <v>5.5</v>
      </c>
      <c r="F492" s="47">
        <v>14.2</v>
      </c>
      <c r="G492" s="47">
        <f>E492*F492</f>
        <v>78.1</v>
      </c>
      <c r="H492" s="40">
        <f>I492/(1000/G492)</f>
        <v>3396.5689999999995</v>
      </c>
      <c r="I492" s="40">
        <v>43490</v>
      </c>
      <c r="J492" s="40"/>
      <c r="K492" s="64"/>
    </row>
    <row r="493" spans="1:12" s="253" customFormat="1" ht="13.5" customHeight="1">
      <c r="A493" s="120"/>
      <c r="B493" s="44" t="s">
        <v>418</v>
      </c>
      <c r="C493" s="45">
        <v>50</v>
      </c>
      <c r="D493" s="36" t="s">
        <v>400</v>
      </c>
      <c r="E493" s="104" t="s">
        <v>56</v>
      </c>
      <c r="F493" s="47">
        <f>15.42*1.081</f>
        <v>16.66902</v>
      </c>
      <c r="G493" s="47">
        <f>E493*F493</f>
        <v>100.01411999999999</v>
      </c>
      <c r="H493" s="40">
        <f>I493/(1000/G493)</f>
        <v>4999.7058588</v>
      </c>
      <c r="I493" s="40">
        <v>49990</v>
      </c>
      <c r="J493" s="40"/>
      <c r="K493" s="42"/>
      <c r="L493" s="253">
        <v>282</v>
      </c>
    </row>
    <row r="494" spans="1:11" s="253" customFormat="1" ht="13.5" customHeight="1" hidden="1">
      <c r="A494" s="120"/>
      <c r="B494" s="44" t="s">
        <v>419</v>
      </c>
      <c r="C494" s="45">
        <v>42</v>
      </c>
      <c r="D494" s="36"/>
      <c r="E494" s="104" t="s">
        <v>48</v>
      </c>
      <c r="F494" s="47">
        <f>19.33*1.04</f>
        <v>20.103199999999998</v>
      </c>
      <c r="G494" s="47"/>
      <c r="H494" s="40"/>
      <c r="I494" s="40">
        <v>42490</v>
      </c>
      <c r="J494" s="41"/>
      <c r="K494" s="254"/>
    </row>
    <row r="495" spans="1:11" s="253" customFormat="1" ht="13.5" customHeight="1" hidden="1">
      <c r="A495" s="120"/>
      <c r="B495" s="44" t="s">
        <v>420</v>
      </c>
      <c r="C495" s="45">
        <v>75</v>
      </c>
      <c r="D495" s="36"/>
      <c r="E495" s="104" t="s">
        <v>48</v>
      </c>
      <c r="F495" s="47">
        <f>22.19*1.01</f>
        <v>22.411900000000003</v>
      </c>
      <c r="G495" s="47"/>
      <c r="H495" s="40"/>
      <c r="I495" s="40">
        <v>39990</v>
      </c>
      <c r="J495" s="41"/>
      <c r="K495" s="254"/>
    </row>
    <row r="496" spans="1:11" s="253" customFormat="1" ht="13.5" customHeight="1" hidden="1">
      <c r="A496" s="120"/>
      <c r="B496" s="44" t="s">
        <v>420</v>
      </c>
      <c r="C496" s="45">
        <v>60</v>
      </c>
      <c r="D496" s="36" t="s">
        <v>400</v>
      </c>
      <c r="E496" s="104" t="s">
        <v>56</v>
      </c>
      <c r="F496" s="47">
        <f>22.19*1.01</f>
        <v>22.411900000000003</v>
      </c>
      <c r="G496" s="47">
        <f>E496*F496</f>
        <v>134.47140000000002</v>
      </c>
      <c r="H496" s="40">
        <f>I496/(1000/G496)</f>
        <v>4301.740086000001</v>
      </c>
      <c r="I496" s="40">
        <v>31990</v>
      </c>
      <c r="J496" s="40"/>
      <c r="K496" s="254"/>
    </row>
    <row r="497" spans="1:11" s="253" customFormat="1" ht="13.5" customHeight="1" hidden="1">
      <c r="A497" s="120"/>
      <c r="B497" s="44" t="s">
        <v>421</v>
      </c>
      <c r="C497" s="45">
        <v>70</v>
      </c>
      <c r="D497" s="36"/>
      <c r="E497" s="104" t="s">
        <v>48</v>
      </c>
      <c r="F497" s="47">
        <f>30.21*1.007</f>
        <v>30.42147</v>
      </c>
      <c r="G497" s="47"/>
      <c r="H497" s="40"/>
      <c r="I497" s="40">
        <v>29990</v>
      </c>
      <c r="J497" s="41"/>
      <c r="K497" s="254"/>
    </row>
    <row r="498" spans="1:11" s="253" customFormat="1" ht="13.5" customHeight="1" hidden="1">
      <c r="A498" s="120"/>
      <c r="B498" s="44" t="s">
        <v>422</v>
      </c>
      <c r="C498" s="45">
        <v>48</v>
      </c>
      <c r="D498" s="36" t="s">
        <v>423</v>
      </c>
      <c r="E498" s="104" t="s">
        <v>48</v>
      </c>
      <c r="F498" s="47">
        <v>26.05</v>
      </c>
      <c r="G498" s="47"/>
      <c r="H498" s="40"/>
      <c r="I498" s="40">
        <v>49990</v>
      </c>
      <c r="J498" s="41"/>
      <c r="K498" s="254"/>
    </row>
    <row r="499" spans="1:11" s="253" customFormat="1" ht="13.5" customHeight="1" hidden="1">
      <c r="A499" s="120"/>
      <c r="B499" s="44" t="s">
        <v>421</v>
      </c>
      <c r="C499" s="45">
        <v>35</v>
      </c>
      <c r="D499" s="36" t="s">
        <v>85</v>
      </c>
      <c r="E499" s="104" t="s">
        <v>48</v>
      </c>
      <c r="F499" s="47">
        <v>30.21</v>
      </c>
      <c r="G499" s="47"/>
      <c r="H499" s="40"/>
      <c r="I499" s="40">
        <v>25990</v>
      </c>
      <c r="J499" s="41">
        <f>I499-240</f>
        <v>25750</v>
      </c>
      <c r="K499" s="254"/>
    </row>
    <row r="500" spans="1:11" s="253" customFormat="1" ht="13.5" customHeight="1" hidden="1">
      <c r="A500" s="120"/>
      <c r="B500" s="44" t="s">
        <v>424</v>
      </c>
      <c r="C500" s="45">
        <v>40</v>
      </c>
      <c r="D500" s="36"/>
      <c r="E500" s="104" t="s">
        <v>425</v>
      </c>
      <c r="F500" s="47">
        <f>39.46*1.04</f>
        <v>41.0384</v>
      </c>
      <c r="G500" s="47">
        <f>E500*F500</f>
        <v>227.76312000000001</v>
      </c>
      <c r="H500" s="40">
        <f>I500/(1000/G500)</f>
        <v>5919.5634888</v>
      </c>
      <c r="I500" s="40">
        <v>25990</v>
      </c>
      <c r="J500" s="40"/>
      <c r="K500" s="254"/>
    </row>
    <row r="501" spans="1:11" s="253" customFormat="1" ht="13.5" customHeight="1" hidden="1">
      <c r="A501" s="120"/>
      <c r="B501" s="44" t="s">
        <v>426</v>
      </c>
      <c r="C501" s="45">
        <v>42</v>
      </c>
      <c r="D501" s="36">
        <v>45</v>
      </c>
      <c r="E501" s="104" t="s">
        <v>48</v>
      </c>
      <c r="F501" s="47">
        <v>44.54</v>
      </c>
      <c r="G501" s="47"/>
      <c r="H501" s="40"/>
      <c r="I501" s="40">
        <v>19990</v>
      </c>
      <c r="J501" s="40"/>
      <c r="K501" s="254"/>
    </row>
    <row r="502" spans="1:11" s="253" customFormat="1" ht="13.5" customHeight="1" hidden="1">
      <c r="A502" s="120"/>
      <c r="B502" s="108" t="s">
        <v>427</v>
      </c>
      <c r="C502" s="109">
        <v>45</v>
      </c>
      <c r="D502" s="117">
        <v>35</v>
      </c>
      <c r="E502" s="104" t="s">
        <v>48</v>
      </c>
      <c r="F502" s="118">
        <v>49.94</v>
      </c>
      <c r="G502" s="47"/>
      <c r="H502" s="40"/>
      <c r="I502" s="40">
        <v>20490</v>
      </c>
      <c r="J502" s="41"/>
      <c r="K502" s="255"/>
    </row>
    <row r="503" spans="1:11" s="253" customFormat="1" ht="13.5" customHeight="1" hidden="1">
      <c r="A503" s="120"/>
      <c r="B503" s="44" t="s">
        <v>428</v>
      </c>
      <c r="C503" s="45">
        <v>50</v>
      </c>
      <c r="D503" s="36" t="s">
        <v>85</v>
      </c>
      <c r="E503" s="104" t="s">
        <v>48</v>
      </c>
      <c r="F503" s="47">
        <v>61.65</v>
      </c>
      <c r="G503" s="47"/>
      <c r="H503" s="40"/>
      <c r="I503" s="40">
        <v>19990</v>
      </c>
      <c r="J503" s="40"/>
      <c r="K503" s="209"/>
    </row>
    <row r="504" spans="1:11" s="253" customFormat="1" ht="13.5" customHeight="1" hidden="1">
      <c r="A504" s="120"/>
      <c r="B504" s="44" t="s">
        <v>429</v>
      </c>
      <c r="C504" s="45">
        <v>55</v>
      </c>
      <c r="D504" s="36">
        <v>45</v>
      </c>
      <c r="E504" s="104" t="s">
        <v>48</v>
      </c>
      <c r="F504" s="47">
        <v>74.6</v>
      </c>
      <c r="G504" s="47"/>
      <c r="H504" s="40"/>
      <c r="I504" s="40">
        <v>20490</v>
      </c>
      <c r="J504" s="40"/>
      <c r="K504" s="254"/>
    </row>
    <row r="505" spans="1:11" s="253" customFormat="1" ht="13.5" customHeight="1" hidden="1">
      <c r="A505" s="120"/>
      <c r="B505" s="44" t="s">
        <v>430</v>
      </c>
      <c r="C505" s="45">
        <v>60</v>
      </c>
      <c r="D505" s="36" t="s">
        <v>85</v>
      </c>
      <c r="E505" s="104" t="s">
        <v>56</v>
      </c>
      <c r="F505" s="47">
        <f>88.78*1.007</f>
        <v>89.40145999999999</v>
      </c>
      <c r="G505" s="47">
        <f>E505*F505</f>
        <v>536.4087599999999</v>
      </c>
      <c r="H505" s="40">
        <f>I505/(1000/G505)</f>
        <v>16086.898712399998</v>
      </c>
      <c r="I505" s="40">
        <v>29990</v>
      </c>
      <c r="J505" s="40"/>
      <c r="K505" s="254"/>
    </row>
    <row r="506" spans="1:11" s="253" customFormat="1" ht="13.5" customHeight="1" hidden="1">
      <c r="A506" s="120"/>
      <c r="B506" s="44" t="s">
        <v>431</v>
      </c>
      <c r="C506" s="45">
        <v>75</v>
      </c>
      <c r="D506" s="36">
        <v>45</v>
      </c>
      <c r="E506" s="104" t="s">
        <v>48</v>
      </c>
      <c r="F506" s="47">
        <v>138.65</v>
      </c>
      <c r="G506" s="47"/>
      <c r="H506" s="40"/>
      <c r="I506" s="40">
        <v>29990</v>
      </c>
      <c r="J506" s="40"/>
      <c r="K506" s="254"/>
    </row>
    <row r="507" spans="1:11" s="253" customFormat="1" ht="13.5" customHeight="1" hidden="1">
      <c r="A507" s="120"/>
      <c r="B507" s="108" t="s">
        <v>432</v>
      </c>
      <c r="C507" s="109">
        <v>80</v>
      </c>
      <c r="D507" s="117" t="s">
        <v>85</v>
      </c>
      <c r="E507" s="104" t="s">
        <v>48</v>
      </c>
      <c r="F507" s="118">
        <v>157.83</v>
      </c>
      <c r="G507" s="47"/>
      <c r="H507" s="40"/>
      <c r="I507" s="40">
        <v>29990</v>
      </c>
      <c r="J507" s="113">
        <v>17490</v>
      </c>
      <c r="K507" s="255"/>
    </row>
    <row r="508" spans="1:11" s="253" customFormat="1" ht="13.5" customHeight="1" hidden="1">
      <c r="A508" s="120"/>
      <c r="B508" s="108" t="s">
        <v>433</v>
      </c>
      <c r="C508" s="109">
        <v>200</v>
      </c>
      <c r="D508" s="117">
        <v>40</v>
      </c>
      <c r="E508" s="132" t="s">
        <v>434</v>
      </c>
      <c r="F508" s="118">
        <v>326.15</v>
      </c>
      <c r="G508" s="118">
        <f>E508*F508</f>
        <v>81.5375</v>
      </c>
      <c r="H508" s="113">
        <f>I508/(1000/G508)</f>
        <v>2445.309625</v>
      </c>
      <c r="I508" s="113">
        <v>29990</v>
      </c>
      <c r="J508" s="113"/>
      <c r="K508" s="132"/>
    </row>
    <row r="509" spans="1:12" s="48" customFormat="1" ht="21" customHeight="1">
      <c r="A509" s="235"/>
      <c r="B509" s="28" t="s">
        <v>435</v>
      </c>
      <c r="C509" s="30"/>
      <c r="D509" s="30"/>
      <c r="E509" s="30"/>
      <c r="F509" s="30"/>
      <c r="G509" s="30"/>
      <c r="H509" s="30"/>
      <c r="I509" s="30"/>
      <c r="J509" s="30"/>
      <c r="K509" s="66"/>
      <c r="L509" s="48">
        <v>285</v>
      </c>
    </row>
    <row r="510" spans="1:11" s="32" customFormat="1" ht="13.5" customHeight="1" hidden="1">
      <c r="A510" s="235"/>
      <c r="B510" s="44" t="s">
        <v>436</v>
      </c>
      <c r="C510" s="45">
        <v>3</v>
      </c>
      <c r="D510" s="36"/>
      <c r="E510" s="104" t="s">
        <v>137</v>
      </c>
      <c r="F510" s="47"/>
      <c r="G510" s="47">
        <v>4.2</v>
      </c>
      <c r="H510" s="41">
        <f>I510/(1000/G510)</f>
        <v>91.35000000000001</v>
      </c>
      <c r="I510" s="41">
        <v>21750</v>
      </c>
      <c r="J510" s="41"/>
      <c r="K510" s="64"/>
    </row>
    <row r="511" spans="1:12" s="187" customFormat="1" ht="13.5" customHeight="1">
      <c r="A511" s="238"/>
      <c r="B511" s="44" t="s">
        <v>436</v>
      </c>
      <c r="C511" s="45">
        <v>10</v>
      </c>
      <c r="D511" s="36"/>
      <c r="E511" s="104" t="s">
        <v>56</v>
      </c>
      <c r="F511" s="47">
        <f>0.785*1.06</f>
        <v>0.8321000000000001</v>
      </c>
      <c r="G511" s="47">
        <f>E511*F511</f>
        <v>4.9926</v>
      </c>
      <c r="H511" s="41">
        <f>I511/(1000/G511)</f>
        <v>235.90035</v>
      </c>
      <c r="I511" s="40">
        <v>47250</v>
      </c>
      <c r="J511" s="41"/>
      <c r="K511" s="42"/>
      <c r="L511" s="187">
        <v>285</v>
      </c>
    </row>
    <row r="512" spans="1:11" s="32" customFormat="1" ht="13.5" customHeight="1" hidden="1">
      <c r="A512" s="235"/>
      <c r="B512" s="44" t="s">
        <v>437</v>
      </c>
      <c r="C512" s="45">
        <v>6</v>
      </c>
      <c r="D512" s="36"/>
      <c r="E512" s="104" t="s">
        <v>48</v>
      </c>
      <c r="F512" s="47">
        <f>1.13*1.04</f>
        <v>1.1752</v>
      </c>
      <c r="G512" s="47" t="e">
        <f>E512*F512</f>
        <v>#VALUE!</v>
      </c>
      <c r="H512" s="41"/>
      <c r="I512" s="40">
        <v>47990</v>
      </c>
      <c r="J512" s="41">
        <f>I512-240</f>
        <v>47750</v>
      </c>
      <c r="K512" s="164"/>
    </row>
    <row r="513" spans="1:12" s="187" customFormat="1" ht="13.5" customHeight="1">
      <c r="A513" s="238"/>
      <c r="B513" s="44" t="s">
        <v>437</v>
      </c>
      <c r="C513" s="45">
        <v>12</v>
      </c>
      <c r="D513" s="36"/>
      <c r="E513" s="104" t="s">
        <v>56</v>
      </c>
      <c r="F513" s="47">
        <f>1.13*1.05</f>
        <v>1.1864999999999999</v>
      </c>
      <c r="G513" s="47">
        <f>E513*F513</f>
        <v>7.119</v>
      </c>
      <c r="H513" s="41">
        <f>I513/(1000/G513)</f>
        <v>320.28380999999996</v>
      </c>
      <c r="I513" s="40">
        <v>44990</v>
      </c>
      <c r="J513" s="41"/>
      <c r="K513" s="168"/>
      <c r="L513" s="187">
        <v>285</v>
      </c>
    </row>
    <row r="514" spans="1:11" s="32" customFormat="1" ht="13.5" customHeight="1" hidden="1">
      <c r="A514" s="235"/>
      <c r="B514" s="44" t="s">
        <v>438</v>
      </c>
      <c r="C514" s="45">
        <v>7</v>
      </c>
      <c r="D514" s="36"/>
      <c r="E514" s="104" t="s">
        <v>48</v>
      </c>
      <c r="F514" s="47">
        <f>1.54*1.04</f>
        <v>1.6016000000000001</v>
      </c>
      <c r="G514" s="47"/>
      <c r="H514" s="41"/>
      <c r="I514" s="40">
        <v>43750</v>
      </c>
      <c r="J514" s="41">
        <f>I514-240</f>
        <v>43510</v>
      </c>
      <c r="K514" s="164"/>
    </row>
    <row r="515" spans="1:11" s="48" customFormat="1" ht="13.5" customHeight="1" hidden="1">
      <c r="A515" s="235"/>
      <c r="B515" s="44" t="s">
        <v>438</v>
      </c>
      <c r="C515" s="45">
        <v>3</v>
      </c>
      <c r="D515" s="36"/>
      <c r="E515" s="104" t="s">
        <v>137</v>
      </c>
      <c r="F515" s="47">
        <v>1.54</v>
      </c>
      <c r="G515" s="47">
        <f>E515*F515*1.04</f>
        <v>8.008000000000001</v>
      </c>
      <c r="H515" s="41">
        <f>I515/(1000/G515)</f>
        <v>350.35</v>
      </c>
      <c r="I515" s="40">
        <v>43750</v>
      </c>
      <c r="J515" s="41">
        <f>I515-240</f>
        <v>43510</v>
      </c>
      <c r="K515" s="64"/>
    </row>
    <row r="516" spans="1:12" s="50" customFormat="1" ht="13.5" customHeight="1">
      <c r="A516" s="238"/>
      <c r="B516" s="44" t="s">
        <v>438</v>
      </c>
      <c r="C516" s="45">
        <v>14</v>
      </c>
      <c r="D516" s="36"/>
      <c r="E516" s="104" t="s">
        <v>56</v>
      </c>
      <c r="F516" s="47">
        <f>1.54*1.043</f>
        <v>1.60622</v>
      </c>
      <c r="G516" s="47">
        <f>E516*F516</f>
        <v>9.637319999999999</v>
      </c>
      <c r="H516" s="41">
        <f>I516/(1000/G516)</f>
        <v>443.22034679999996</v>
      </c>
      <c r="I516" s="40">
        <v>45990</v>
      </c>
      <c r="J516" s="41"/>
      <c r="K516" s="42"/>
      <c r="L516" s="50">
        <v>285</v>
      </c>
    </row>
    <row r="517" spans="1:11" s="187" customFormat="1" ht="13.5" customHeight="1" hidden="1">
      <c r="A517" s="238"/>
      <c r="B517" s="44" t="s">
        <v>439</v>
      </c>
      <c r="C517" s="45">
        <v>8</v>
      </c>
      <c r="D517" s="36"/>
      <c r="E517" s="104" t="s">
        <v>48</v>
      </c>
      <c r="F517" s="47">
        <v>2.01</v>
      </c>
      <c r="G517" s="47"/>
      <c r="H517" s="41"/>
      <c r="I517" s="40">
        <v>44990</v>
      </c>
      <c r="J517" s="41">
        <f>I517-240</f>
        <v>44750</v>
      </c>
      <c r="K517" s="164"/>
    </row>
    <row r="518" spans="1:11" s="50" customFormat="1" ht="13.5" customHeight="1" hidden="1">
      <c r="A518" s="238"/>
      <c r="B518" s="44" t="s">
        <v>439</v>
      </c>
      <c r="C518" s="45">
        <v>8</v>
      </c>
      <c r="D518" s="36"/>
      <c r="E518" s="104" t="s">
        <v>137</v>
      </c>
      <c r="F518" s="47">
        <v>2.01</v>
      </c>
      <c r="G518" s="47">
        <f>E518*F518*1.04</f>
        <v>10.452</v>
      </c>
      <c r="H518" s="41">
        <f>I518/(1000/G518)</f>
        <v>470.23548</v>
      </c>
      <c r="I518" s="40">
        <v>44990</v>
      </c>
      <c r="J518" s="41">
        <f>I518-240</f>
        <v>44750</v>
      </c>
      <c r="K518" s="256"/>
    </row>
    <row r="519" spans="1:12" s="50" customFormat="1" ht="13.5" customHeight="1">
      <c r="A519" s="238"/>
      <c r="B519" s="44" t="s">
        <v>439</v>
      </c>
      <c r="C519" s="45">
        <v>16</v>
      </c>
      <c r="D519" s="36"/>
      <c r="E519" s="104" t="s">
        <v>56</v>
      </c>
      <c r="F519" s="47">
        <f>2.01*1.038</f>
        <v>2.0863799999999997</v>
      </c>
      <c r="G519" s="47">
        <f>E519*F519</f>
        <v>12.518279999999997</v>
      </c>
      <c r="H519" s="41">
        <f>I519/(1000/G519)</f>
        <v>563.1974171999998</v>
      </c>
      <c r="I519" s="40">
        <v>44990</v>
      </c>
      <c r="J519" s="41"/>
      <c r="K519" s="42"/>
      <c r="L519" s="50">
        <v>285</v>
      </c>
    </row>
    <row r="520" spans="1:12" s="50" customFormat="1" ht="13.5" customHeight="1">
      <c r="A520" s="238"/>
      <c r="B520" s="44" t="s">
        <v>440</v>
      </c>
      <c r="C520" s="45">
        <v>20</v>
      </c>
      <c r="D520" s="36"/>
      <c r="E520" s="104" t="s">
        <v>56</v>
      </c>
      <c r="F520" s="47">
        <f>3.14*1.04</f>
        <v>3.2656</v>
      </c>
      <c r="G520" s="47">
        <f>E520*F520</f>
        <v>19.593600000000002</v>
      </c>
      <c r="H520" s="40">
        <f>I520/(1000/G520)</f>
        <v>891.3128640000001</v>
      </c>
      <c r="I520" s="40">
        <v>45490</v>
      </c>
      <c r="J520" s="40"/>
      <c r="K520" s="42"/>
      <c r="L520" s="50">
        <v>285</v>
      </c>
    </row>
    <row r="521" spans="1:11" s="48" customFormat="1" ht="13.5" customHeight="1" hidden="1">
      <c r="A521" s="235"/>
      <c r="B521" s="44" t="s">
        <v>441</v>
      </c>
      <c r="C521" s="45">
        <v>22</v>
      </c>
      <c r="D521" s="36"/>
      <c r="E521" s="104" t="s">
        <v>442</v>
      </c>
      <c r="F521" s="47">
        <f>4.91*1.04</f>
        <v>5.106400000000001</v>
      </c>
      <c r="G521" s="47">
        <f>E521*F521</f>
        <v>27.574560000000005</v>
      </c>
      <c r="H521" s="40">
        <f>I521/(1000/G521)</f>
        <v>826.9610544000002</v>
      </c>
      <c r="I521" s="41">
        <v>29990</v>
      </c>
      <c r="J521" s="40"/>
      <c r="K521" s="131"/>
    </row>
    <row r="522" spans="1:11" s="48" customFormat="1" ht="3.75" customHeight="1" hidden="1">
      <c r="A522" s="235"/>
      <c r="B522" s="108" t="s">
        <v>443</v>
      </c>
      <c r="C522" s="109">
        <v>22</v>
      </c>
      <c r="D522" s="117"/>
      <c r="E522" s="132" t="s">
        <v>137</v>
      </c>
      <c r="F522" s="118">
        <f>12.56*1.04</f>
        <v>13.0624</v>
      </c>
      <c r="G522" s="118">
        <f>E522*F522</f>
        <v>65.312</v>
      </c>
      <c r="H522" s="113">
        <f>I522/(1000/G522)</f>
        <v>1527.64768</v>
      </c>
      <c r="I522" s="204">
        <v>23390</v>
      </c>
      <c r="J522" s="113"/>
      <c r="K522" s="133"/>
    </row>
    <row r="523" spans="1:12" s="48" customFormat="1" ht="21" customHeight="1">
      <c r="A523" s="235"/>
      <c r="B523" s="28" t="s">
        <v>444</v>
      </c>
      <c r="C523" s="30"/>
      <c r="D523" s="30"/>
      <c r="E523" s="30"/>
      <c r="F523" s="30"/>
      <c r="G523" s="30"/>
      <c r="H523" s="30"/>
      <c r="I523" s="30"/>
      <c r="J523" s="30"/>
      <c r="K523" s="66"/>
      <c r="L523" s="48">
        <v>286</v>
      </c>
    </row>
    <row r="524" spans="1:11" s="48" customFormat="1" ht="13.5" customHeight="1" hidden="1">
      <c r="A524" s="235"/>
      <c r="B524" s="76" t="s">
        <v>445</v>
      </c>
      <c r="C524" s="69">
        <v>6</v>
      </c>
      <c r="D524" s="37">
        <v>45</v>
      </c>
      <c r="E524" s="104" t="s">
        <v>446</v>
      </c>
      <c r="F524" s="38">
        <f>0.68*1.04</f>
        <v>0.7072</v>
      </c>
      <c r="G524" s="47">
        <f>E524*F524</f>
        <v>2.4752</v>
      </c>
      <c r="H524" s="41">
        <f>I524/(1000/G524)</f>
        <v>148.487248</v>
      </c>
      <c r="I524" s="41">
        <v>59990</v>
      </c>
      <c r="J524" s="41"/>
      <c r="K524" s="168"/>
    </row>
    <row r="525" spans="1:11" s="48" customFormat="1" ht="13.5" customHeight="1" hidden="1">
      <c r="A525" s="235"/>
      <c r="B525" s="76" t="s">
        <v>447</v>
      </c>
      <c r="C525" s="69">
        <v>12</v>
      </c>
      <c r="D525" s="37">
        <v>20</v>
      </c>
      <c r="E525" s="104" t="s">
        <v>48</v>
      </c>
      <c r="F525" s="249">
        <f>0.979*1.025</f>
        <v>1.003475</v>
      </c>
      <c r="G525" s="47"/>
      <c r="H525" s="41"/>
      <c r="I525" s="41">
        <v>42990</v>
      </c>
      <c r="J525" s="41"/>
      <c r="K525" s="164"/>
    </row>
    <row r="526" spans="1:11" s="48" customFormat="1" ht="13.5" customHeight="1" hidden="1">
      <c r="A526" s="235"/>
      <c r="B526" s="76" t="s">
        <v>447</v>
      </c>
      <c r="C526" s="69">
        <v>12</v>
      </c>
      <c r="D526" s="37">
        <v>20</v>
      </c>
      <c r="E526" s="104" t="s">
        <v>48</v>
      </c>
      <c r="F526" s="249">
        <f>0.979*1.025</f>
        <v>1.003475</v>
      </c>
      <c r="G526" s="47" t="e">
        <f>E526*F526</f>
        <v>#VALUE!</v>
      </c>
      <c r="H526" s="41" t="e">
        <f>I526/(1000/G526)</f>
        <v>#VALUE!</v>
      </c>
      <c r="I526" s="41">
        <v>42990</v>
      </c>
      <c r="J526" s="41"/>
      <c r="K526" s="164"/>
    </row>
    <row r="527" spans="1:11" s="48" customFormat="1" ht="13.5" customHeight="1" hidden="1">
      <c r="A527" s="235"/>
      <c r="B527" s="76" t="s">
        <v>447</v>
      </c>
      <c r="C527" s="69">
        <v>12</v>
      </c>
      <c r="D527" s="37">
        <v>35</v>
      </c>
      <c r="E527" s="104" t="s">
        <v>48</v>
      </c>
      <c r="F527" s="249">
        <f>0.979*1.025</f>
        <v>1.003475</v>
      </c>
      <c r="G527" s="47" t="e">
        <f>E527*F527</f>
        <v>#VALUE!</v>
      </c>
      <c r="H527" s="41" t="e">
        <f>I527/(1000/G527)</f>
        <v>#VALUE!</v>
      </c>
      <c r="I527" s="41">
        <v>42990</v>
      </c>
      <c r="J527" s="41"/>
      <c r="K527" s="164"/>
    </row>
    <row r="528" spans="1:252" s="32" customFormat="1" ht="13.5" customHeight="1">
      <c r="A528" s="235"/>
      <c r="B528" s="44" t="s">
        <v>448</v>
      </c>
      <c r="C528" s="45">
        <v>14</v>
      </c>
      <c r="D528" s="36">
        <v>35</v>
      </c>
      <c r="E528" s="104" t="s">
        <v>48</v>
      </c>
      <c r="F528" s="47">
        <f>1.33*1.021</f>
        <v>1.3579299999999999</v>
      </c>
      <c r="G528" s="47"/>
      <c r="H528" s="41"/>
      <c r="I528" s="41">
        <f aca="true" t="shared" si="32" ref="I528:I539">51990</f>
        <v>51990</v>
      </c>
      <c r="J528" s="41"/>
      <c r="K528" s="164"/>
      <c r="L528" s="32">
        <v>286</v>
      </c>
      <c r="GM528" s="33"/>
      <c r="GN528" s="33"/>
      <c r="GO528" s="33"/>
      <c r="GP528" s="33"/>
      <c r="GQ528" s="33"/>
      <c r="GR528" s="33"/>
      <c r="GS528" s="33"/>
      <c r="GT528" s="33"/>
      <c r="GU528" s="33"/>
      <c r="GV528" s="33"/>
      <c r="GW528" s="33"/>
      <c r="GX528" s="33"/>
      <c r="GY528" s="33"/>
      <c r="GZ528" s="33"/>
      <c r="HA528" s="33"/>
      <c r="HB528" s="33"/>
      <c r="HC528" s="33"/>
      <c r="HD528" s="33"/>
      <c r="HE528" s="33"/>
      <c r="HF528" s="33"/>
      <c r="HG528" s="33"/>
      <c r="HH528" s="33"/>
      <c r="HI528" s="33"/>
      <c r="HJ528" s="33"/>
      <c r="HK528" s="33"/>
      <c r="HL528" s="33"/>
      <c r="HM528" s="33"/>
      <c r="HN528" s="33"/>
      <c r="HO528" s="33"/>
      <c r="HP528" s="33"/>
      <c r="HQ528" s="33"/>
      <c r="HR528" s="33"/>
      <c r="HS528" s="33"/>
      <c r="HT528" s="33"/>
      <c r="HU528" s="33"/>
      <c r="HV528" s="33"/>
      <c r="HW528" s="33"/>
      <c r="HX528" s="33"/>
      <c r="HY528" s="33"/>
      <c r="HZ528" s="33"/>
      <c r="IA528" s="33"/>
      <c r="IB528" s="33"/>
      <c r="IC528" s="33"/>
      <c r="ID528" s="33"/>
      <c r="IE528" s="33"/>
      <c r="IF528" s="33"/>
      <c r="IG528" s="33"/>
      <c r="IH528" s="33"/>
      <c r="II528" s="33"/>
      <c r="IJ528" s="33"/>
      <c r="IK528" s="33"/>
      <c r="IL528" s="33"/>
      <c r="IM528" s="33"/>
      <c r="IN528" s="33"/>
      <c r="IO528" s="33"/>
      <c r="IP528" s="33"/>
      <c r="IQ528" s="33"/>
      <c r="IR528" s="33"/>
    </row>
    <row r="529" spans="1:12" s="48" customFormat="1" ht="13.5" customHeight="1">
      <c r="A529" s="235"/>
      <c r="B529" s="44" t="s">
        <v>449</v>
      </c>
      <c r="C529" s="45">
        <v>17</v>
      </c>
      <c r="D529" s="36" t="s">
        <v>450</v>
      </c>
      <c r="E529" s="104" t="s">
        <v>48</v>
      </c>
      <c r="F529" s="47">
        <f>1.96*1.018</f>
        <v>1.99528</v>
      </c>
      <c r="G529" s="47"/>
      <c r="H529" s="41"/>
      <c r="I529" s="41">
        <f t="shared" si="32"/>
        <v>51990</v>
      </c>
      <c r="J529" s="41"/>
      <c r="K529" s="164"/>
      <c r="L529" s="48">
        <v>286</v>
      </c>
    </row>
    <row r="530" spans="1:11" s="48" customFormat="1" ht="13.5" customHeight="1" hidden="1">
      <c r="A530" s="235"/>
      <c r="B530" s="44" t="s">
        <v>449</v>
      </c>
      <c r="C530" s="45">
        <v>13</v>
      </c>
      <c r="D530" s="36">
        <v>20</v>
      </c>
      <c r="E530" s="104" t="s">
        <v>48</v>
      </c>
      <c r="F530" s="47">
        <f>1.96*1.018</f>
        <v>1.99528</v>
      </c>
      <c r="G530" s="47" t="e">
        <f>E530*F530</f>
        <v>#VALUE!</v>
      </c>
      <c r="H530" s="41" t="e">
        <f>I530/(1000/G530)</f>
        <v>#VALUE!</v>
      </c>
      <c r="I530" s="41">
        <f t="shared" si="32"/>
        <v>51990</v>
      </c>
      <c r="J530" s="41"/>
      <c r="K530" s="164"/>
    </row>
    <row r="531" spans="1:12" s="48" customFormat="1" ht="13.5" customHeight="1">
      <c r="A531" s="235"/>
      <c r="B531" s="44" t="s">
        <v>451</v>
      </c>
      <c r="C531" s="45">
        <v>19</v>
      </c>
      <c r="D531" s="36">
        <v>35</v>
      </c>
      <c r="E531" s="104" t="s">
        <v>48</v>
      </c>
      <c r="F531" s="47">
        <f>2.45*1.016</f>
        <v>2.4892000000000003</v>
      </c>
      <c r="G531" s="47"/>
      <c r="H531" s="41"/>
      <c r="I531" s="41">
        <f t="shared" si="32"/>
        <v>51990</v>
      </c>
      <c r="J531" s="41"/>
      <c r="K531" s="164"/>
      <c r="L531" s="48">
        <v>286</v>
      </c>
    </row>
    <row r="532" spans="1:12" s="48" customFormat="1" ht="13.5" customHeight="1">
      <c r="A532" s="235"/>
      <c r="B532" s="44" t="s">
        <v>452</v>
      </c>
      <c r="C532" s="45">
        <v>22</v>
      </c>
      <c r="D532" s="36">
        <v>20</v>
      </c>
      <c r="E532" s="104" t="s">
        <v>48</v>
      </c>
      <c r="F532" s="47">
        <f>3.29*1.018</f>
        <v>3.3492200000000003</v>
      </c>
      <c r="G532" s="47"/>
      <c r="H532" s="41"/>
      <c r="I532" s="41">
        <f t="shared" si="32"/>
        <v>51990</v>
      </c>
      <c r="J532" s="41"/>
      <c r="K532" s="164"/>
      <c r="L532" s="48">
        <v>286</v>
      </c>
    </row>
    <row r="533" spans="1:12" s="48" customFormat="1" ht="13.5" customHeight="1">
      <c r="A533" s="235"/>
      <c r="B533" s="44" t="s">
        <v>453</v>
      </c>
      <c r="C533" s="45">
        <v>24</v>
      </c>
      <c r="D533" s="36">
        <v>35</v>
      </c>
      <c r="E533" s="104" t="s">
        <v>48</v>
      </c>
      <c r="F533" s="47">
        <f>3.92*1.017</f>
        <v>3.9866399999999995</v>
      </c>
      <c r="G533" s="47"/>
      <c r="H533" s="41"/>
      <c r="I533" s="41">
        <f t="shared" si="32"/>
        <v>51990</v>
      </c>
      <c r="J533" s="41"/>
      <c r="K533" s="164"/>
      <c r="L533" s="48">
        <v>286</v>
      </c>
    </row>
    <row r="534" spans="1:11" s="48" customFormat="1" ht="13.5" customHeight="1" hidden="1">
      <c r="A534" s="235"/>
      <c r="B534" s="44" t="s">
        <v>454</v>
      </c>
      <c r="C534" s="45">
        <v>22</v>
      </c>
      <c r="D534" s="36">
        <v>20</v>
      </c>
      <c r="E534" s="104" t="s">
        <v>455</v>
      </c>
      <c r="F534" s="47">
        <f>4.96*1.04</f>
        <v>5.1584</v>
      </c>
      <c r="G534" s="47">
        <f>E534*F534</f>
        <v>20.6336</v>
      </c>
      <c r="H534" s="40">
        <f>I534/(1000/G534)</f>
        <v>1072.740864</v>
      </c>
      <c r="I534" s="41">
        <f t="shared" si="32"/>
        <v>51990</v>
      </c>
      <c r="J534" s="40"/>
      <c r="K534" s="64"/>
    </row>
    <row r="535" spans="1:12" s="48" customFormat="1" ht="13.5" customHeight="1">
      <c r="A535" s="235"/>
      <c r="B535" s="44" t="s">
        <v>456</v>
      </c>
      <c r="C535" s="45">
        <v>27</v>
      </c>
      <c r="D535" s="36" t="s">
        <v>457</v>
      </c>
      <c r="E535" s="104" t="s">
        <v>48</v>
      </c>
      <c r="F535" s="47">
        <f>4.96*1.011</f>
        <v>5.0145599999999995</v>
      </c>
      <c r="G535" s="47"/>
      <c r="H535" s="41"/>
      <c r="I535" s="41">
        <f t="shared" si="32"/>
        <v>51990</v>
      </c>
      <c r="J535" s="41"/>
      <c r="K535" s="164"/>
      <c r="L535" s="48">
        <v>286</v>
      </c>
    </row>
    <row r="536" spans="1:12" s="48" customFormat="1" ht="13.5" customHeight="1">
      <c r="A536" s="235"/>
      <c r="B536" s="44" t="s">
        <v>458</v>
      </c>
      <c r="C536" s="45">
        <v>30</v>
      </c>
      <c r="D536" s="36" t="s">
        <v>457</v>
      </c>
      <c r="E536" s="104" t="s">
        <v>48</v>
      </c>
      <c r="F536" s="47">
        <f>6.12*1.013</f>
        <v>6.199559999999999</v>
      </c>
      <c r="G536" s="47"/>
      <c r="H536" s="40"/>
      <c r="I536" s="41">
        <f t="shared" si="32"/>
        <v>51990</v>
      </c>
      <c r="J536" s="40"/>
      <c r="K536" s="64"/>
      <c r="L536" s="48">
        <v>286</v>
      </c>
    </row>
    <row r="537" spans="1:12" s="48" customFormat="1" ht="13.5" customHeight="1">
      <c r="A537" s="235"/>
      <c r="B537" s="44" t="s">
        <v>459</v>
      </c>
      <c r="C537" s="45">
        <v>32</v>
      </c>
      <c r="D537" s="36">
        <v>35</v>
      </c>
      <c r="E537" s="104" t="s">
        <v>48</v>
      </c>
      <c r="F537" s="47">
        <f>6.96*1.013</f>
        <v>7.050479999999999</v>
      </c>
      <c r="G537" s="47"/>
      <c r="H537" s="40"/>
      <c r="I537" s="41">
        <f t="shared" si="32"/>
        <v>51990</v>
      </c>
      <c r="J537" s="40"/>
      <c r="K537" s="64"/>
      <c r="L537" s="48">
        <v>286</v>
      </c>
    </row>
    <row r="538" spans="1:11" s="48" customFormat="1" ht="13.5" customHeight="1" hidden="1">
      <c r="A538" s="235"/>
      <c r="B538" s="44" t="s">
        <v>460</v>
      </c>
      <c r="C538" s="45">
        <v>36</v>
      </c>
      <c r="D538" s="36">
        <v>35</v>
      </c>
      <c r="E538" s="104" t="s">
        <v>48</v>
      </c>
      <c r="F538" s="47">
        <f>8.81*1.04</f>
        <v>9.162400000000002</v>
      </c>
      <c r="G538" s="47"/>
      <c r="H538" s="40"/>
      <c r="I538" s="41">
        <f t="shared" si="32"/>
        <v>51990</v>
      </c>
      <c r="J538" s="40"/>
      <c r="K538" s="64"/>
    </row>
    <row r="539" spans="1:11" s="48" customFormat="1" ht="13.5" customHeight="1" hidden="1">
      <c r="A539" s="235"/>
      <c r="B539" s="44" t="s">
        <v>461</v>
      </c>
      <c r="C539" s="45">
        <v>41</v>
      </c>
      <c r="D539" s="36">
        <v>35</v>
      </c>
      <c r="E539" s="104" t="s">
        <v>48</v>
      </c>
      <c r="F539" s="47">
        <f>11.54*1.01</f>
        <v>11.655399999999998</v>
      </c>
      <c r="G539" s="36"/>
      <c r="H539" s="40"/>
      <c r="I539" s="41">
        <f t="shared" si="32"/>
        <v>51990</v>
      </c>
      <c r="J539" s="40"/>
      <c r="K539" s="64"/>
    </row>
    <row r="540" spans="1:11" s="48" customFormat="1" ht="13.5" customHeight="1" hidden="1">
      <c r="A540" s="235"/>
      <c r="B540" s="44" t="s">
        <v>462</v>
      </c>
      <c r="C540" s="45">
        <v>46</v>
      </c>
      <c r="D540" s="36">
        <v>35</v>
      </c>
      <c r="E540" s="104" t="s">
        <v>48</v>
      </c>
      <c r="F540" s="47">
        <f>14.53*1.01</f>
        <v>14.6753</v>
      </c>
      <c r="G540" s="47"/>
      <c r="H540" s="40"/>
      <c r="I540" s="40">
        <v>44990</v>
      </c>
      <c r="J540" s="40"/>
      <c r="K540" s="64"/>
    </row>
    <row r="541" spans="1:12" s="48" customFormat="1" ht="21" customHeight="1">
      <c r="A541" s="235"/>
      <c r="B541" s="28" t="s">
        <v>463</v>
      </c>
      <c r="C541" s="30"/>
      <c r="D541" s="30"/>
      <c r="E541" s="30"/>
      <c r="F541" s="30"/>
      <c r="G541" s="30"/>
      <c r="H541" s="30"/>
      <c r="I541" s="30"/>
      <c r="J541" s="30"/>
      <c r="K541" s="66"/>
      <c r="L541" s="48">
        <v>287</v>
      </c>
    </row>
    <row r="542" spans="1:11" s="32" customFormat="1" ht="13.5" customHeight="1" hidden="1">
      <c r="A542" s="235"/>
      <c r="B542" s="76" t="s">
        <v>464</v>
      </c>
      <c r="C542" s="69">
        <v>7</v>
      </c>
      <c r="D542" s="36" t="s">
        <v>60</v>
      </c>
      <c r="E542" s="205" t="s">
        <v>56</v>
      </c>
      <c r="F542" s="38">
        <v>0.63</v>
      </c>
      <c r="G542" s="38">
        <v>4</v>
      </c>
      <c r="H542" s="41">
        <f aca="true" t="shared" si="33" ref="H542:H553">I542/(1000/G542)</f>
        <v>199.96</v>
      </c>
      <c r="I542" s="41">
        <v>49990</v>
      </c>
      <c r="J542" s="41"/>
      <c r="K542" s="164"/>
    </row>
    <row r="543" spans="1:12" s="32" customFormat="1" ht="13.5" customHeight="1">
      <c r="A543" s="235"/>
      <c r="B543" s="76" t="s">
        <v>465</v>
      </c>
      <c r="C543" s="69">
        <v>10</v>
      </c>
      <c r="D543" s="36" t="s">
        <v>60</v>
      </c>
      <c r="E543" s="104" t="s">
        <v>56</v>
      </c>
      <c r="F543" s="38">
        <f>0.85*1.078</f>
        <v>0.9163</v>
      </c>
      <c r="G543" s="47">
        <f aca="true" t="shared" si="34" ref="G543:G553">E543*F543</f>
        <v>5.4978</v>
      </c>
      <c r="H543" s="40">
        <f t="shared" si="33"/>
        <v>280.33282199999996</v>
      </c>
      <c r="I543" s="41">
        <v>50990</v>
      </c>
      <c r="J543" s="41"/>
      <c r="K543" s="168"/>
      <c r="L543" s="32">
        <v>287</v>
      </c>
    </row>
    <row r="544" spans="1:11" s="32" customFormat="1" ht="13.5" customHeight="1" hidden="1">
      <c r="A544" s="235"/>
      <c r="B544" s="76" t="s">
        <v>466</v>
      </c>
      <c r="C544" s="69"/>
      <c r="D544" s="36" t="s">
        <v>60</v>
      </c>
      <c r="E544" s="104" t="s">
        <v>48</v>
      </c>
      <c r="F544" s="38">
        <f>0.98*1.04</f>
        <v>1.0192</v>
      </c>
      <c r="G544" s="47" t="e">
        <f t="shared" si="34"/>
        <v>#VALUE!</v>
      </c>
      <c r="H544" s="40" t="e">
        <f t="shared" si="33"/>
        <v>#VALUE!</v>
      </c>
      <c r="I544" s="41">
        <v>45490</v>
      </c>
      <c r="J544" s="41">
        <f>I544-260</f>
        <v>45230</v>
      </c>
      <c r="K544" s="168"/>
    </row>
    <row r="545" spans="1:11" s="48" customFormat="1" ht="13.5" customHeight="1" hidden="1">
      <c r="A545" s="235"/>
      <c r="B545" s="44" t="s">
        <v>467</v>
      </c>
      <c r="C545" s="45">
        <v>12</v>
      </c>
      <c r="D545" s="36" t="s">
        <v>60</v>
      </c>
      <c r="E545" s="104" t="s">
        <v>56</v>
      </c>
      <c r="F545" s="47">
        <f>0.94*1.078</f>
        <v>1.01332</v>
      </c>
      <c r="G545" s="47">
        <f t="shared" si="34"/>
        <v>6.0799199999999995</v>
      </c>
      <c r="H545" s="40">
        <f t="shared" si="33"/>
        <v>276.5755608</v>
      </c>
      <c r="I545" s="41">
        <v>45490</v>
      </c>
      <c r="J545" s="41"/>
      <c r="K545" s="168"/>
    </row>
    <row r="546" spans="1:12" s="48" customFormat="1" ht="13.5" customHeight="1">
      <c r="A546" s="235"/>
      <c r="B546" s="44" t="s">
        <v>468</v>
      </c>
      <c r="C546" s="45">
        <v>15</v>
      </c>
      <c r="D546" s="36" t="s">
        <v>60</v>
      </c>
      <c r="E546" s="104" t="s">
        <v>56</v>
      </c>
      <c r="F546" s="47">
        <f>1.26*1.075</f>
        <v>1.3545</v>
      </c>
      <c r="G546" s="47">
        <f t="shared" si="34"/>
        <v>8.127</v>
      </c>
      <c r="H546" s="40">
        <f t="shared" si="33"/>
        <v>402.20523000000003</v>
      </c>
      <c r="I546" s="41">
        <v>49490</v>
      </c>
      <c r="J546" s="41"/>
      <c r="K546" s="168"/>
      <c r="L546" s="48">
        <v>287</v>
      </c>
    </row>
    <row r="547" spans="1:11" s="48" customFormat="1" ht="13.5" customHeight="1" hidden="1">
      <c r="A547" s="235"/>
      <c r="B547" s="44" t="s">
        <v>468</v>
      </c>
      <c r="C547" s="45">
        <v>15</v>
      </c>
      <c r="D547" s="36" t="s">
        <v>60</v>
      </c>
      <c r="E547" s="104" t="s">
        <v>56</v>
      </c>
      <c r="F547" s="47">
        <f>1.26*1.075</f>
        <v>1.3545</v>
      </c>
      <c r="G547" s="47">
        <f t="shared" si="34"/>
        <v>8.127</v>
      </c>
      <c r="H547" s="40">
        <f t="shared" si="33"/>
        <v>355.55625000000003</v>
      </c>
      <c r="I547" s="41">
        <v>43750</v>
      </c>
      <c r="J547" s="41">
        <f>I547-260</f>
        <v>43490</v>
      </c>
      <c r="K547" s="168"/>
    </row>
    <row r="548" spans="1:11" s="48" customFormat="1" ht="13.5" customHeight="1" hidden="1">
      <c r="A548" s="235"/>
      <c r="B548" s="44" t="s">
        <v>469</v>
      </c>
      <c r="C548" s="45">
        <v>8</v>
      </c>
      <c r="D548" s="36" t="s">
        <v>60</v>
      </c>
      <c r="E548" s="104" t="s">
        <v>56</v>
      </c>
      <c r="F548" s="47">
        <f>1.88*1.05</f>
        <v>1.974</v>
      </c>
      <c r="G548" s="47">
        <f t="shared" si="34"/>
        <v>11.844</v>
      </c>
      <c r="H548" s="40">
        <f t="shared" si="33"/>
        <v>518.1750000000001</v>
      </c>
      <c r="I548" s="41">
        <v>43750</v>
      </c>
      <c r="J548" s="41">
        <f>I548-260</f>
        <v>43490</v>
      </c>
      <c r="K548" s="168"/>
    </row>
    <row r="549" spans="1:11" s="48" customFormat="1" ht="13.5" customHeight="1" hidden="1">
      <c r="A549" s="235"/>
      <c r="B549" s="44" t="s">
        <v>470</v>
      </c>
      <c r="C549" s="45">
        <v>10</v>
      </c>
      <c r="D549" s="36" t="s">
        <v>60</v>
      </c>
      <c r="E549" s="104" t="s">
        <v>56</v>
      </c>
      <c r="F549" s="47">
        <v>1.57</v>
      </c>
      <c r="G549" s="47">
        <f t="shared" si="34"/>
        <v>9.42</v>
      </c>
      <c r="H549" s="40">
        <f t="shared" si="33"/>
        <v>412.125</v>
      </c>
      <c r="I549" s="41">
        <v>43750</v>
      </c>
      <c r="J549" s="41">
        <f>I549-260</f>
        <v>43490</v>
      </c>
      <c r="K549" s="168"/>
    </row>
    <row r="550" spans="1:12" s="48" customFormat="1" ht="13.5" customHeight="1">
      <c r="A550" s="235"/>
      <c r="B550" s="44" t="s">
        <v>471</v>
      </c>
      <c r="C550" s="45">
        <v>20</v>
      </c>
      <c r="D550" s="36" t="s">
        <v>60</v>
      </c>
      <c r="E550" s="104" t="s">
        <v>56</v>
      </c>
      <c r="F550" s="47">
        <f>1.96*1.06</f>
        <v>2.0776</v>
      </c>
      <c r="G550" s="47">
        <f t="shared" si="34"/>
        <v>12.465599999999998</v>
      </c>
      <c r="H550" s="40">
        <f t="shared" si="33"/>
        <v>607.6979999999999</v>
      </c>
      <c r="I550" s="41">
        <v>48750</v>
      </c>
      <c r="J550" s="40"/>
      <c r="K550" s="42" t="s">
        <v>31</v>
      </c>
      <c r="L550" s="48">
        <v>287</v>
      </c>
    </row>
    <row r="551" spans="1:11" s="48" customFormat="1" ht="13.5" customHeight="1" hidden="1">
      <c r="A551" s="235"/>
      <c r="B551" s="44" t="s">
        <v>472</v>
      </c>
      <c r="C551" s="45">
        <v>12</v>
      </c>
      <c r="D551" s="36" t="s">
        <v>60</v>
      </c>
      <c r="E551" s="104" t="s">
        <v>473</v>
      </c>
      <c r="F551" s="47">
        <f>2.36*1.04</f>
        <v>2.4544</v>
      </c>
      <c r="G551" s="47">
        <f t="shared" si="34"/>
        <v>17.1808</v>
      </c>
      <c r="H551" s="40">
        <f t="shared" si="33"/>
        <v>609.746592</v>
      </c>
      <c r="I551" s="41">
        <v>35490</v>
      </c>
      <c r="J551" s="40"/>
      <c r="K551" s="64"/>
    </row>
    <row r="552" spans="1:11" s="48" customFormat="1" ht="13.5" customHeight="1" hidden="1">
      <c r="A552" s="235"/>
      <c r="B552" s="44" t="s">
        <v>474</v>
      </c>
      <c r="C552" s="45">
        <v>20</v>
      </c>
      <c r="D552" s="36" t="s">
        <v>60</v>
      </c>
      <c r="E552" s="104" t="s">
        <v>56</v>
      </c>
      <c r="F552" s="47">
        <f>2.36*1.06</f>
        <v>2.5016</v>
      </c>
      <c r="G552" s="47">
        <f t="shared" si="34"/>
        <v>15.009599999999999</v>
      </c>
      <c r="H552" s="40">
        <f t="shared" si="33"/>
        <v>532.690704</v>
      </c>
      <c r="I552" s="41">
        <v>35490</v>
      </c>
      <c r="J552" s="40"/>
      <c r="K552" s="64"/>
    </row>
    <row r="553" spans="1:11" s="48" customFormat="1" ht="13.5" customHeight="1" hidden="1">
      <c r="A553" s="235"/>
      <c r="B553" s="44" t="s">
        <v>475</v>
      </c>
      <c r="C553" s="45">
        <v>20</v>
      </c>
      <c r="D553" s="36" t="s">
        <v>60</v>
      </c>
      <c r="E553" s="104" t="s">
        <v>56</v>
      </c>
      <c r="F553" s="47">
        <f>3.768*1.031</f>
        <v>3.8848079999999996</v>
      </c>
      <c r="G553" s="47">
        <f t="shared" si="34"/>
        <v>23.308847999999998</v>
      </c>
      <c r="H553" s="40">
        <f t="shared" si="33"/>
        <v>827.2310155199999</v>
      </c>
      <c r="I553" s="41">
        <v>35490</v>
      </c>
      <c r="J553" s="40"/>
      <c r="K553" s="64"/>
    </row>
    <row r="554" spans="1:11" s="48" customFormat="1" ht="13.5" customHeight="1" hidden="1">
      <c r="A554" s="235"/>
      <c r="B554" s="44" t="s">
        <v>476</v>
      </c>
      <c r="C554" s="45">
        <v>20</v>
      </c>
      <c r="D554" s="36" t="s">
        <v>60</v>
      </c>
      <c r="E554" s="104" t="s">
        <v>48</v>
      </c>
      <c r="F554" s="47">
        <f>5.024*1.04</f>
        <v>5.22496</v>
      </c>
      <c r="G554" s="47"/>
      <c r="H554" s="40"/>
      <c r="I554" s="41">
        <v>35490</v>
      </c>
      <c r="J554" s="40"/>
      <c r="K554" s="64"/>
    </row>
    <row r="555" spans="1:11" s="48" customFormat="1" ht="13.5" customHeight="1" hidden="1">
      <c r="A555" s="235"/>
      <c r="B555" s="108" t="s">
        <v>477</v>
      </c>
      <c r="C555" s="109">
        <v>30</v>
      </c>
      <c r="D555" s="117" t="s">
        <v>60</v>
      </c>
      <c r="E555" s="132" t="s">
        <v>56</v>
      </c>
      <c r="F555" s="118">
        <f>6.28*1.04</f>
        <v>6.5312</v>
      </c>
      <c r="G555" s="118">
        <f>E555*F555</f>
        <v>39.187200000000004</v>
      </c>
      <c r="H555" s="113">
        <f>I555/(1000/G555)</f>
        <v>1390.7537280000001</v>
      </c>
      <c r="I555" s="41">
        <v>35490</v>
      </c>
      <c r="J555" s="204"/>
      <c r="K555" s="121"/>
    </row>
    <row r="556" spans="1:12" s="48" customFormat="1" ht="21" customHeight="1">
      <c r="A556" s="235"/>
      <c r="B556" s="257" t="s">
        <v>478</v>
      </c>
      <c r="C556" s="258"/>
      <c r="D556" s="258"/>
      <c r="E556" s="258"/>
      <c r="F556" s="258"/>
      <c r="G556" s="258"/>
      <c r="H556" s="258"/>
      <c r="I556" s="258"/>
      <c r="J556" s="258"/>
      <c r="K556" s="259"/>
      <c r="L556" s="48">
        <v>288</v>
      </c>
    </row>
    <row r="557" spans="1:11" s="253" customFormat="1" ht="13.5" customHeight="1" hidden="1">
      <c r="A557" s="235"/>
      <c r="B557" s="124" t="s">
        <v>479</v>
      </c>
      <c r="C557" s="45"/>
      <c r="D557" s="36"/>
      <c r="E557" s="163" t="s">
        <v>480</v>
      </c>
      <c r="F557" s="47">
        <v>2.08</v>
      </c>
      <c r="G557" s="47">
        <v>2.08</v>
      </c>
      <c r="H557" s="40">
        <f aca="true" t="shared" si="35" ref="H557:H570">I557/(1000/G557)</f>
        <v>83.1792</v>
      </c>
      <c r="I557" s="40">
        <v>39990</v>
      </c>
      <c r="J557" s="41"/>
      <c r="K557" s="64"/>
    </row>
    <row r="558" spans="1:11" s="253" customFormat="1" ht="13.5" customHeight="1" hidden="1">
      <c r="A558" s="235"/>
      <c r="B558" s="124" t="s">
        <v>479</v>
      </c>
      <c r="C558" s="45"/>
      <c r="D558" s="36"/>
      <c r="E558" s="163" t="s">
        <v>178</v>
      </c>
      <c r="F558" s="47">
        <v>2.08</v>
      </c>
      <c r="G558" s="47">
        <v>4.16</v>
      </c>
      <c r="H558" s="40">
        <f t="shared" si="35"/>
        <v>149.7184</v>
      </c>
      <c r="I558" s="40">
        <v>35990</v>
      </c>
      <c r="J558" s="41"/>
      <c r="K558" s="64"/>
    </row>
    <row r="559" spans="1:11" s="253" customFormat="1" ht="13.5" customHeight="1" hidden="1">
      <c r="A559" s="235"/>
      <c r="B559" s="124" t="s">
        <v>481</v>
      </c>
      <c r="C559" s="45"/>
      <c r="D559" s="36"/>
      <c r="E559" s="163" t="s">
        <v>482</v>
      </c>
      <c r="F559" s="47">
        <v>3.68</v>
      </c>
      <c r="G559" s="47">
        <v>2.8</v>
      </c>
      <c r="H559" s="40">
        <f t="shared" si="35"/>
        <v>97.972</v>
      </c>
      <c r="I559" s="40">
        <v>34990</v>
      </c>
      <c r="J559" s="41"/>
      <c r="K559" s="42"/>
    </row>
    <row r="560" spans="1:12" s="253" customFormat="1" ht="13.5" customHeight="1">
      <c r="A560" s="235"/>
      <c r="B560" s="124" t="s">
        <v>481</v>
      </c>
      <c r="C560" s="45"/>
      <c r="D560" s="36"/>
      <c r="E560" s="163" t="s">
        <v>480</v>
      </c>
      <c r="F560" s="47">
        <v>3.68</v>
      </c>
      <c r="G560" s="47">
        <v>3.68</v>
      </c>
      <c r="H560" s="40">
        <f t="shared" si="35"/>
        <v>137.9632</v>
      </c>
      <c r="I560" s="40">
        <v>37490</v>
      </c>
      <c r="J560" s="41"/>
      <c r="K560" s="42"/>
      <c r="L560" s="253">
        <v>288</v>
      </c>
    </row>
    <row r="561" spans="1:11" s="253" customFormat="1" ht="13.5" customHeight="1" hidden="1">
      <c r="A561" s="235"/>
      <c r="B561" s="124" t="s">
        <v>481</v>
      </c>
      <c r="C561" s="45"/>
      <c r="D561" s="36"/>
      <c r="E561" s="163" t="s">
        <v>178</v>
      </c>
      <c r="F561" s="47">
        <v>3.68</v>
      </c>
      <c r="G561" s="47">
        <v>7.36</v>
      </c>
      <c r="H561" s="40">
        <f t="shared" si="35"/>
        <v>257.52639999999997</v>
      </c>
      <c r="I561" s="40">
        <v>34990</v>
      </c>
      <c r="J561" s="41"/>
      <c r="K561" s="42"/>
    </row>
    <row r="562" spans="1:11" s="253" customFormat="1" ht="13.5" customHeight="1" hidden="1">
      <c r="A562" s="235"/>
      <c r="B562" s="124" t="s">
        <v>481</v>
      </c>
      <c r="C562" s="45"/>
      <c r="D562" s="36"/>
      <c r="E562" s="163" t="s">
        <v>483</v>
      </c>
      <c r="F562" s="47">
        <v>3.68</v>
      </c>
      <c r="G562" s="47">
        <v>11.04</v>
      </c>
      <c r="H562" s="40">
        <f t="shared" si="35"/>
        <v>386.28959999999995</v>
      </c>
      <c r="I562" s="40">
        <v>34990</v>
      </c>
      <c r="J562" s="41"/>
      <c r="K562" s="42"/>
    </row>
    <row r="563" spans="1:11" s="253" customFormat="1" ht="13.5" customHeight="1" hidden="1">
      <c r="A563" s="235"/>
      <c r="B563" s="124" t="s">
        <v>484</v>
      </c>
      <c r="C563" s="45"/>
      <c r="D563" s="36"/>
      <c r="E563" s="163" t="s">
        <v>178</v>
      </c>
      <c r="F563" s="47">
        <v>1.84</v>
      </c>
      <c r="G563" s="47">
        <v>3.68</v>
      </c>
      <c r="H563" s="40">
        <f t="shared" si="35"/>
        <v>128.76319999999998</v>
      </c>
      <c r="I563" s="40">
        <v>34990</v>
      </c>
      <c r="J563" s="41"/>
      <c r="K563" s="42"/>
    </row>
    <row r="564" spans="1:11" s="253" customFormat="1" ht="13.5" customHeight="1" hidden="1">
      <c r="A564" s="235"/>
      <c r="B564" s="124" t="s">
        <v>484</v>
      </c>
      <c r="C564" s="45"/>
      <c r="D564" s="36"/>
      <c r="E564" s="163" t="s">
        <v>485</v>
      </c>
      <c r="F564" s="47">
        <v>1.84</v>
      </c>
      <c r="G564" s="47">
        <v>9.9</v>
      </c>
      <c r="H564" s="40">
        <f t="shared" si="35"/>
        <v>346.401</v>
      </c>
      <c r="I564" s="40">
        <v>34990</v>
      </c>
      <c r="J564" s="41"/>
      <c r="K564" s="42"/>
    </row>
    <row r="565" spans="1:12" s="253" customFormat="1" ht="13.5" customHeight="1">
      <c r="A565" s="235"/>
      <c r="B565" s="124" t="s">
        <v>484</v>
      </c>
      <c r="C565" s="45"/>
      <c r="D565" s="36"/>
      <c r="E565" s="163" t="s">
        <v>486</v>
      </c>
      <c r="F565" s="47">
        <v>1.84</v>
      </c>
      <c r="G565" s="47">
        <v>11.04</v>
      </c>
      <c r="H565" s="40">
        <f t="shared" si="35"/>
        <v>430.4496</v>
      </c>
      <c r="I565" s="40">
        <v>38990</v>
      </c>
      <c r="J565" s="41"/>
      <c r="K565" s="42"/>
      <c r="L565" s="253">
        <v>288</v>
      </c>
    </row>
    <row r="566" spans="1:11" s="253" customFormat="1" ht="13.5" customHeight="1" hidden="1">
      <c r="A566" s="235"/>
      <c r="B566" s="124" t="s">
        <v>487</v>
      </c>
      <c r="C566" s="45"/>
      <c r="D566" s="36"/>
      <c r="E566" s="163" t="s">
        <v>486</v>
      </c>
      <c r="F566" s="47">
        <v>3</v>
      </c>
      <c r="G566" s="47">
        <v>18</v>
      </c>
      <c r="H566" s="40">
        <f t="shared" si="35"/>
        <v>611.8199999999999</v>
      </c>
      <c r="I566" s="40">
        <v>33990</v>
      </c>
      <c r="J566" s="40"/>
      <c r="K566" s="64"/>
    </row>
    <row r="567" spans="1:11" s="253" customFormat="1" ht="13.5" customHeight="1" hidden="1">
      <c r="A567" s="235"/>
      <c r="B567" s="124" t="s">
        <v>488</v>
      </c>
      <c r="C567" s="45"/>
      <c r="D567" s="36"/>
      <c r="E567" s="163" t="s">
        <v>486</v>
      </c>
      <c r="F567" s="47">
        <v>1.26</v>
      </c>
      <c r="G567" s="47">
        <v>7.56</v>
      </c>
      <c r="H567" s="40">
        <f t="shared" si="35"/>
        <v>256.9644</v>
      </c>
      <c r="I567" s="40">
        <v>33990</v>
      </c>
      <c r="J567" s="40"/>
      <c r="K567" s="64"/>
    </row>
    <row r="568" spans="1:11" s="253" customFormat="1" ht="13.5" customHeight="1" hidden="1">
      <c r="A568" s="235"/>
      <c r="B568" s="124" t="s">
        <v>489</v>
      </c>
      <c r="C568" s="45"/>
      <c r="D568" s="36"/>
      <c r="E568" s="163" t="s">
        <v>486</v>
      </c>
      <c r="F568" s="47"/>
      <c r="G568" s="47">
        <v>11.45</v>
      </c>
      <c r="H568" s="40">
        <f t="shared" si="35"/>
        <v>389.1855</v>
      </c>
      <c r="I568" s="40">
        <v>33990</v>
      </c>
      <c r="J568" s="40"/>
      <c r="K568" s="64"/>
    </row>
    <row r="569" spans="1:11" s="253" customFormat="1" ht="13.5" customHeight="1" hidden="1">
      <c r="A569" s="235"/>
      <c r="B569" s="124" t="s">
        <v>490</v>
      </c>
      <c r="C569" s="45"/>
      <c r="D569" s="36"/>
      <c r="E569" s="163" t="s">
        <v>486</v>
      </c>
      <c r="F569" s="47"/>
      <c r="G569" s="47"/>
      <c r="H569" s="40" t="e">
        <f t="shared" si="35"/>
        <v>#DIV/0!</v>
      </c>
      <c r="I569" s="40">
        <v>33990</v>
      </c>
      <c r="J569" s="40"/>
      <c r="K569" s="64"/>
    </row>
    <row r="570" spans="1:11" s="253" customFormat="1" ht="13.5" customHeight="1" hidden="1">
      <c r="A570" s="235"/>
      <c r="B570" s="124" t="s">
        <v>491</v>
      </c>
      <c r="C570" s="45"/>
      <c r="D570" s="36"/>
      <c r="E570" s="163" t="s">
        <v>492</v>
      </c>
      <c r="F570" s="47"/>
      <c r="G570" s="47">
        <v>30</v>
      </c>
      <c r="H570" s="40">
        <f t="shared" si="35"/>
        <v>1019.6999999999999</v>
      </c>
      <c r="I570" s="40">
        <v>33990</v>
      </c>
      <c r="J570" s="40"/>
      <c r="K570" s="42"/>
    </row>
    <row r="571" spans="1:12" s="48" customFormat="1" ht="21" customHeight="1">
      <c r="A571" s="235"/>
      <c r="B571" s="28" t="s">
        <v>493</v>
      </c>
      <c r="C571" s="30"/>
      <c r="D571" s="30"/>
      <c r="E571" s="30"/>
      <c r="F571" s="30"/>
      <c r="G571" s="30"/>
      <c r="H571" s="30"/>
      <c r="I571" s="30"/>
      <c r="J571" s="30"/>
      <c r="K571" s="66"/>
      <c r="L571" s="48">
        <v>289</v>
      </c>
    </row>
    <row r="572" spans="1:12" s="48" customFormat="1" ht="13.5" customHeight="1">
      <c r="A572" s="235"/>
      <c r="B572" s="44" t="s">
        <v>494</v>
      </c>
      <c r="C572" s="45"/>
      <c r="D572" s="36"/>
      <c r="E572" s="104" t="s">
        <v>379</v>
      </c>
      <c r="F572" s="40"/>
      <c r="G572" s="182"/>
      <c r="H572" s="40"/>
      <c r="I572" s="41">
        <v>54990</v>
      </c>
      <c r="J572" s="41"/>
      <c r="K572" s="64" t="s">
        <v>495</v>
      </c>
      <c r="L572" s="48">
        <v>289</v>
      </c>
    </row>
    <row r="573" spans="1:12" s="48" customFormat="1" ht="13.5" customHeight="1">
      <c r="A573" s="235"/>
      <c r="B573" s="44" t="s">
        <v>496</v>
      </c>
      <c r="C573" s="45"/>
      <c r="D573" s="63" t="s">
        <v>497</v>
      </c>
      <c r="E573" s="104" t="s">
        <v>379</v>
      </c>
      <c r="F573" s="40"/>
      <c r="G573" s="182"/>
      <c r="H573" s="40"/>
      <c r="I573" s="41">
        <v>79990</v>
      </c>
      <c r="J573" s="41"/>
      <c r="K573" s="64"/>
      <c r="L573" s="48">
        <v>289</v>
      </c>
    </row>
    <row r="574" spans="1:11" s="48" customFormat="1" ht="13.5" customHeight="1" hidden="1">
      <c r="A574" s="235"/>
      <c r="B574" s="44" t="s">
        <v>498</v>
      </c>
      <c r="C574" s="45"/>
      <c r="D574" s="36"/>
      <c r="E574" s="104" t="s">
        <v>56</v>
      </c>
      <c r="F574" s="47">
        <f>0.056*1.04</f>
        <v>0.05824</v>
      </c>
      <c r="G574" s="47">
        <f>E574*F574</f>
        <v>0.34944</v>
      </c>
      <c r="H574" s="40">
        <f>I574/(1000/G574)</f>
        <v>8.732505599999998</v>
      </c>
      <c r="I574" s="41">
        <v>24990</v>
      </c>
      <c r="J574" s="41"/>
      <c r="K574" s="64"/>
    </row>
    <row r="575" spans="1:11" s="48" customFormat="1" ht="13.5" customHeight="1" hidden="1">
      <c r="A575" s="235"/>
      <c r="B575" s="44" t="s">
        <v>499</v>
      </c>
      <c r="C575" s="45"/>
      <c r="D575" s="36"/>
      <c r="E575" s="104" t="s">
        <v>56</v>
      </c>
      <c r="F575" s="47">
        <f>0.099*1.04</f>
        <v>0.10296000000000001</v>
      </c>
      <c r="G575" s="47">
        <f>E575*F575</f>
        <v>0.6177600000000001</v>
      </c>
      <c r="H575" s="40">
        <f>I575/(1000/G575)</f>
        <v>15.437822400000002</v>
      </c>
      <c r="I575" s="41">
        <v>24990</v>
      </c>
      <c r="J575" s="41"/>
      <c r="K575" s="64"/>
    </row>
    <row r="576" spans="1:11" s="263" customFormat="1" ht="13.5" customHeight="1">
      <c r="A576" s="260"/>
      <c r="B576" s="261"/>
      <c r="C576" s="261"/>
      <c r="D576" s="261"/>
      <c r="E576" s="261"/>
      <c r="F576" s="261"/>
      <c r="G576" s="261"/>
      <c r="H576" s="261"/>
      <c r="I576" s="261"/>
      <c r="J576" s="261"/>
      <c r="K576" s="262"/>
    </row>
    <row r="577" spans="1:11" s="264" customFormat="1" ht="14.25" customHeight="1">
      <c r="A577" s="275" t="s">
        <v>500</v>
      </c>
      <c r="B577" s="275"/>
      <c r="C577" s="275"/>
      <c r="D577" s="275"/>
      <c r="E577" s="275"/>
      <c r="F577" s="275"/>
      <c r="G577" s="275"/>
      <c r="H577" s="275"/>
      <c r="I577" s="275"/>
      <c r="J577" s="275"/>
      <c r="K577" s="275"/>
    </row>
    <row r="578" ht="14.25" customHeight="1">
      <c r="A578" s="260"/>
    </row>
    <row r="579" spans="1:11" ht="14.25" customHeight="1">
      <c r="A579" s="260"/>
      <c r="B579" s="276" t="s">
        <v>501</v>
      </c>
      <c r="C579" s="276"/>
      <c r="D579" s="276"/>
      <c r="E579" s="276"/>
      <c r="F579" s="276"/>
      <c r="G579" s="276"/>
      <c r="H579" s="276"/>
      <c r="I579" s="276"/>
      <c r="J579" s="276"/>
      <c r="K579" s="264"/>
    </row>
    <row r="580" spans="1:10" ht="14.25" customHeight="1">
      <c r="A580" s="260"/>
      <c r="B580" s="276" t="s">
        <v>502</v>
      </c>
      <c r="C580" s="276"/>
      <c r="D580" s="276"/>
      <c r="E580" s="276"/>
      <c r="F580" s="276"/>
      <c r="G580" s="276"/>
      <c r="H580" s="276"/>
      <c r="I580" s="276"/>
      <c r="J580" s="276"/>
    </row>
    <row r="581" spans="1:11" ht="14.25" customHeight="1">
      <c r="A581" s="277" t="s">
        <v>503</v>
      </c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</row>
    <row r="582" spans="1:11" ht="14.25" customHeight="1">
      <c r="A582" s="278" t="s">
        <v>504</v>
      </c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</row>
    <row r="583" spans="1:10" ht="14.25" customHeight="1">
      <c r="A583" s="265"/>
      <c r="B583" s="266"/>
      <c r="C583" s="266"/>
      <c r="D583" s="266"/>
      <c r="E583" s="266"/>
      <c r="F583" s="266"/>
      <c r="G583" s="266"/>
      <c r="H583" s="266"/>
      <c r="I583" s="266"/>
      <c r="J583" s="266"/>
    </row>
    <row r="584" spans="1:11" s="264" customFormat="1" ht="15.75" customHeight="1">
      <c r="A584" s="265"/>
      <c r="B584" s="279" t="s">
        <v>505</v>
      </c>
      <c r="C584" s="279"/>
      <c r="D584" s="279"/>
      <c r="E584" s="279"/>
      <c r="F584" s="279"/>
      <c r="G584" s="279"/>
      <c r="H584" s="279"/>
      <c r="I584" s="279"/>
      <c r="J584" s="279"/>
      <c r="K584" s="279"/>
    </row>
    <row r="585" spans="1:11" s="264" customFormat="1" ht="13.5" customHeight="1">
      <c r="A585" s="265"/>
      <c r="B585" s="267"/>
      <c r="C585" s="267"/>
      <c r="D585" s="267"/>
      <c r="E585" s="267"/>
      <c r="F585" s="267"/>
      <c r="G585" s="267"/>
      <c r="H585" s="267"/>
      <c r="I585" s="267"/>
      <c r="J585" s="267"/>
      <c r="K585" s="267"/>
    </row>
    <row r="586" spans="1:11" ht="14.25" customHeight="1">
      <c r="A586" s="276" t="s">
        <v>506</v>
      </c>
      <c r="B586" s="276"/>
      <c r="C586" s="276"/>
      <c r="D586" s="276"/>
      <c r="E586" s="276"/>
      <c r="F586" s="276"/>
      <c r="G586" s="276"/>
      <c r="H586" s="276"/>
      <c r="I586" s="276"/>
      <c r="J586" s="276"/>
      <c r="K586" s="276"/>
    </row>
    <row r="587" spans="1:11" ht="14.25" customHeight="1">
      <c r="A587" s="265"/>
      <c r="B587" s="276" t="s">
        <v>507</v>
      </c>
      <c r="C587" s="276"/>
      <c r="D587" s="276"/>
      <c r="E587" s="276"/>
      <c r="F587" s="276"/>
      <c r="G587" s="276"/>
      <c r="H587" s="276"/>
      <c r="I587" s="276"/>
      <c r="J587" s="276"/>
      <c r="K587" s="264"/>
    </row>
    <row r="588" spans="1:10" ht="14.25" customHeight="1">
      <c r="A588" s="265"/>
      <c r="B588" s="268"/>
      <c r="C588" s="268"/>
      <c r="D588" s="268"/>
      <c r="E588" s="268"/>
      <c r="F588" s="268"/>
      <c r="G588" s="268"/>
      <c r="H588" s="268"/>
      <c r="I588" s="268"/>
      <c r="J588" s="268"/>
    </row>
    <row r="589" spans="1:10" ht="14.25" customHeight="1">
      <c r="A589" s="265"/>
      <c r="B589" s="280" t="s">
        <v>508</v>
      </c>
      <c r="C589" s="280"/>
      <c r="D589" s="280"/>
      <c r="E589" s="280"/>
      <c r="F589" s="280"/>
      <c r="G589" s="280"/>
      <c r="H589" s="280"/>
      <c r="I589" s="280"/>
      <c r="J589" s="280"/>
    </row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</sheetData>
  <sheetProtection selectLockedCells="1" selectUnlockedCells="1"/>
  <mergeCells count="22">
    <mergeCell ref="B589:J589"/>
    <mergeCell ref="A582:K582"/>
    <mergeCell ref="B584:K584"/>
    <mergeCell ref="A586:K586"/>
    <mergeCell ref="B587:J587"/>
    <mergeCell ref="A577:K577"/>
    <mergeCell ref="B579:J579"/>
    <mergeCell ref="B580:J580"/>
    <mergeCell ref="A581:K581"/>
    <mergeCell ref="B419:B420"/>
    <mergeCell ref="D419:D420"/>
    <mergeCell ref="I419:J419"/>
    <mergeCell ref="K419:K420"/>
    <mergeCell ref="B174:B175"/>
    <mergeCell ref="D174:D175"/>
    <mergeCell ref="I174:J174"/>
    <mergeCell ref="K174:K175"/>
    <mergeCell ref="J1:K1"/>
    <mergeCell ref="B6:B7"/>
    <mergeCell ref="D6:D7"/>
    <mergeCell ref="I6:J6"/>
    <mergeCell ref="K6:K7"/>
  </mergeCells>
  <printOptions horizontalCentered="1"/>
  <pageMargins left="0.03958333333333333" right="0.03958333333333333" top="0.39375" bottom="0.39375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nbezrukova</cp:lastModifiedBy>
  <dcterms:created xsi:type="dcterms:W3CDTF">2018-04-17T10:23:56Z</dcterms:created>
  <dcterms:modified xsi:type="dcterms:W3CDTF">2018-04-17T10:28:42Z</dcterms:modified>
  <cp:category/>
  <cp:version/>
  <cp:contentType/>
  <cp:contentStatus/>
</cp:coreProperties>
</file>