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2_ncr:500000_{0A174700-2EB6-45F2-8932-D4F2DF86BE1A}" xr6:coauthVersionLast="31" xr6:coauthVersionMax="31" xr10:uidLastSave="{00000000-0000-0000-0000-000000000000}"/>
  <bookViews>
    <workbookView xWindow="240" yWindow="3705" windowWidth="14805" windowHeight="8010" xr2:uid="{00000000-000D-0000-FFFF-FFFF00000000}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303" i="1" l="1"/>
  <c r="F294" i="1"/>
  <c r="F293" i="1"/>
  <c r="G329" i="1" l="1"/>
  <c r="H329" i="1" s="1"/>
  <c r="G416" i="1" l="1"/>
  <c r="H416" i="1" s="1"/>
  <c r="G220" i="1"/>
  <c r="G219" i="1"/>
  <c r="G245" i="1"/>
  <c r="G248" i="1"/>
  <c r="G247" i="1"/>
  <c r="G246" i="1"/>
  <c r="G244" i="1"/>
  <c r="H284" i="1"/>
  <c r="H283" i="1"/>
  <c r="H282" i="1"/>
  <c r="G400" i="1"/>
  <c r="H400" i="1" s="1"/>
  <c r="G402" i="1"/>
  <c r="H402" i="1" s="1"/>
  <c r="G401" i="1"/>
  <c r="H401" i="1" s="1"/>
  <c r="G397" i="1"/>
  <c r="H397" i="1" s="1"/>
  <c r="G396" i="1"/>
  <c r="H396" i="1" s="1"/>
  <c r="G395" i="1"/>
  <c r="H395" i="1" s="1"/>
  <c r="G392" i="1"/>
  <c r="H392" i="1" s="1"/>
  <c r="G391" i="1"/>
  <c r="H391" i="1" s="1"/>
  <c r="G380" i="1"/>
  <c r="H380" i="1" s="1"/>
  <c r="G382" i="1"/>
  <c r="H382" i="1" s="1"/>
  <c r="G383" i="1"/>
  <c r="H383" i="1" s="1"/>
  <c r="G384" i="1"/>
  <c r="H384" i="1" s="1"/>
  <c r="G385" i="1"/>
  <c r="H385" i="1" s="1"/>
  <c r="G386" i="1"/>
  <c r="H386" i="1" s="1"/>
  <c r="G387" i="1"/>
  <c r="H387" i="1" s="1"/>
  <c r="G388" i="1"/>
  <c r="H388" i="1" s="1"/>
  <c r="G389" i="1"/>
  <c r="H389" i="1" s="1"/>
  <c r="G390" i="1"/>
  <c r="H390" i="1" s="1"/>
  <c r="G379" i="1"/>
  <c r="H379" i="1" s="1"/>
  <c r="G376" i="1"/>
  <c r="H376" i="1" s="1"/>
  <c r="G375" i="1"/>
  <c r="H375" i="1" s="1"/>
  <c r="G374" i="1"/>
  <c r="H374" i="1" s="1"/>
  <c r="G373" i="1"/>
  <c r="H373" i="1" s="1"/>
  <c r="G372" i="1"/>
  <c r="H372" i="1" s="1"/>
  <c r="G371" i="1"/>
  <c r="H371" i="1" s="1"/>
  <c r="M369" i="1"/>
  <c r="M368" i="1"/>
  <c r="M371" i="1"/>
  <c r="M370" i="1"/>
  <c r="G363" i="1"/>
  <c r="H363" i="1" s="1"/>
  <c r="G362" i="1"/>
  <c r="H362" i="1" s="1"/>
  <c r="G405" i="1"/>
  <c r="G408" i="1" s="1"/>
  <c r="G475" i="1"/>
  <c r="H475" i="1" s="1"/>
  <c r="G490" i="1"/>
  <c r="H490" i="1" s="1"/>
  <c r="G489" i="1"/>
  <c r="H489" i="1" s="1"/>
  <c r="G488" i="1"/>
  <c r="H488" i="1" s="1"/>
  <c r="G487" i="1"/>
  <c r="H487" i="1" s="1"/>
  <c r="G486" i="1"/>
  <c r="H486" i="1" s="1"/>
  <c r="G485" i="1"/>
  <c r="H485" i="1" s="1"/>
  <c r="G484" i="1"/>
  <c r="H484" i="1" s="1"/>
  <c r="G483" i="1"/>
  <c r="H483" i="1" s="1"/>
  <c r="G482" i="1"/>
  <c r="H482" i="1" s="1"/>
  <c r="G481" i="1"/>
  <c r="H481" i="1" s="1"/>
  <c r="G480" i="1"/>
  <c r="H480" i="1" s="1"/>
  <c r="G479" i="1"/>
  <c r="H479" i="1" s="1"/>
  <c r="G478" i="1"/>
  <c r="H478" i="1" s="1"/>
  <c r="G477" i="1"/>
  <c r="H477" i="1" s="1"/>
  <c r="G476" i="1"/>
  <c r="H476" i="1" s="1"/>
  <c r="G500" i="1"/>
  <c r="H500" i="1" s="1"/>
  <c r="G499" i="1"/>
  <c r="H499" i="1" s="1"/>
  <c r="G498" i="1"/>
  <c r="H498" i="1" s="1"/>
  <c r="G497" i="1"/>
  <c r="H497" i="1" s="1"/>
  <c r="G496" i="1"/>
  <c r="H496" i="1" s="1"/>
  <c r="G495" i="1"/>
  <c r="H495" i="1" s="1"/>
  <c r="G494" i="1"/>
  <c r="H494" i="1" s="1"/>
  <c r="G493" i="1"/>
  <c r="H493" i="1" s="1"/>
  <c r="G492" i="1"/>
  <c r="H492" i="1" s="1"/>
  <c r="G473" i="1"/>
  <c r="H473" i="1" s="1"/>
  <c r="G470" i="1"/>
  <c r="H470" i="1" s="1"/>
  <c r="G467" i="1"/>
  <c r="H467" i="1" s="1"/>
  <c r="G466" i="1"/>
  <c r="H466" i="1" s="1"/>
  <c r="G462" i="1"/>
  <c r="H462" i="1" s="1"/>
  <c r="H461" i="1"/>
  <c r="G459" i="1"/>
  <c r="H459" i="1" s="1"/>
  <c r="G458" i="1"/>
  <c r="H458" i="1" s="1"/>
  <c r="G456" i="1"/>
  <c r="H456" i="1" s="1"/>
  <c r="H455" i="1"/>
  <c r="G454" i="1"/>
  <c r="H454" i="1" s="1"/>
  <c r="G453" i="1"/>
  <c r="H453" i="1" s="1"/>
  <c r="G451" i="1"/>
  <c r="H451" i="1" s="1"/>
  <c r="H450" i="1"/>
  <c r="G449" i="1"/>
  <c r="H449" i="1" s="1"/>
  <c r="H448" i="1"/>
  <c r="G447" i="1"/>
  <c r="H447" i="1" s="1"/>
  <c r="H444" i="1"/>
  <c r="H441" i="1"/>
  <c r="G438" i="1"/>
  <c r="H438" i="1" s="1"/>
  <c r="H435" i="1"/>
  <c r="G432" i="1"/>
  <c r="H432" i="1" s="1"/>
  <c r="H429" i="1"/>
  <c r="H426" i="1"/>
  <c r="H423" i="1"/>
  <c r="G420" i="1"/>
  <c r="H420" i="1" s="1"/>
  <c r="G417" i="1"/>
  <c r="H417" i="1" s="1"/>
  <c r="H413" i="1"/>
  <c r="H412" i="1"/>
  <c r="H409" i="1"/>
  <c r="H407" i="1"/>
  <c r="H404" i="1"/>
  <c r="G398" i="1"/>
  <c r="H398" i="1" s="1"/>
  <c r="G381" i="1"/>
  <c r="H381" i="1" s="1"/>
  <c r="H378" i="1"/>
  <c r="H377" i="1"/>
  <c r="H370" i="1"/>
  <c r="H369" i="1"/>
  <c r="H368" i="1"/>
  <c r="H367" i="1"/>
  <c r="H365" i="1"/>
  <c r="G364" i="1"/>
  <c r="H364" i="1" s="1"/>
  <c r="H361" i="1"/>
  <c r="H360" i="1"/>
  <c r="H359" i="1"/>
  <c r="G358" i="1"/>
  <c r="H358" i="1" s="1"/>
  <c r="G357" i="1"/>
  <c r="H357" i="1" s="1"/>
  <c r="G356" i="1"/>
  <c r="H356" i="1" s="1"/>
  <c r="G355" i="1"/>
  <c r="H355" i="1" s="1"/>
  <c r="G354" i="1"/>
  <c r="H354" i="1" s="1"/>
  <c r="G353" i="1"/>
  <c r="H353" i="1" s="1"/>
  <c r="G352" i="1"/>
  <c r="H352" i="1" s="1"/>
  <c r="G351" i="1"/>
  <c r="H351" i="1" s="1"/>
  <c r="H350" i="1"/>
  <c r="G348" i="1"/>
  <c r="H348" i="1" s="1"/>
  <c r="H347" i="1"/>
  <c r="H346" i="1"/>
  <c r="G345" i="1"/>
  <c r="H345" i="1" s="1"/>
  <c r="G344" i="1"/>
  <c r="H344" i="1" s="1"/>
  <c r="G343" i="1"/>
  <c r="H343" i="1" s="1"/>
  <c r="G342" i="1"/>
  <c r="H342" i="1" s="1"/>
  <c r="G341" i="1"/>
  <c r="H341" i="1" s="1"/>
  <c r="G340" i="1"/>
  <c r="H340" i="1" s="1"/>
  <c r="G339" i="1"/>
  <c r="H339" i="1" s="1"/>
  <c r="H338" i="1"/>
  <c r="H337" i="1"/>
  <c r="H336" i="1"/>
  <c r="H335" i="1"/>
  <c r="G333" i="1"/>
  <c r="H333" i="1" s="1"/>
  <c r="G332" i="1"/>
  <c r="H332" i="1" s="1"/>
  <c r="H331" i="1"/>
  <c r="H269" i="1"/>
  <c r="H270" i="1"/>
  <c r="H408" i="1" l="1"/>
  <c r="G410" i="1"/>
  <c r="G419" i="1"/>
  <c r="G469" i="1"/>
  <c r="H405" i="1"/>
  <c r="H410" i="1" l="1"/>
  <c r="H469" i="1"/>
  <c r="G472" i="1"/>
  <c r="H472" i="1" s="1"/>
  <c r="H419" i="1"/>
  <c r="G422" i="1"/>
  <c r="G425" i="1" l="1"/>
  <c r="H422" i="1"/>
  <c r="G328" i="1"/>
  <c r="H328" i="1" s="1"/>
  <c r="G327" i="1"/>
  <c r="H327" i="1" s="1"/>
  <c r="H323" i="1"/>
  <c r="H320" i="1"/>
  <c r="G325" i="1"/>
  <c r="H325" i="1" s="1"/>
  <c r="G324" i="1"/>
  <c r="H324" i="1" s="1"/>
  <c r="G322" i="1"/>
  <c r="H322" i="1" s="1"/>
  <c r="G317" i="1"/>
  <c r="G316" i="1" s="1"/>
  <c r="H316" i="1" s="1"/>
  <c r="H306" i="1"/>
  <c r="H305" i="1"/>
  <c r="G304" i="1"/>
  <c r="H304" i="1" s="1"/>
  <c r="G303" i="1"/>
  <c r="H303" i="1" s="1"/>
  <c r="H302" i="1"/>
  <c r="H301" i="1"/>
  <c r="H300" i="1"/>
  <c r="H297" i="1"/>
  <c r="H296" i="1"/>
  <c r="H294" i="1"/>
  <c r="H293" i="1"/>
  <c r="G291" i="1"/>
  <c r="H291" i="1" s="1"/>
  <c r="G290" i="1"/>
  <c r="H290" i="1" s="1"/>
  <c r="G289" i="1"/>
  <c r="H289" i="1" s="1"/>
  <c r="H288" i="1"/>
  <c r="H287" i="1"/>
  <c r="H286" i="1"/>
  <c r="G281" i="1"/>
  <c r="H281" i="1" s="1"/>
  <c r="H279" i="1"/>
  <c r="H276" i="1"/>
  <c r="H275" i="1"/>
  <c r="H274" i="1"/>
  <c r="H273" i="1"/>
  <c r="H272" i="1"/>
  <c r="G428" i="1" l="1"/>
  <c r="H425" i="1"/>
  <c r="G309" i="1"/>
  <c r="H309" i="1" s="1"/>
  <c r="G313" i="1"/>
  <c r="H313" i="1" s="1"/>
  <c r="G311" i="1"/>
  <c r="H311" i="1" s="1"/>
  <c r="G315" i="1"/>
  <c r="H315" i="1" s="1"/>
  <c r="H317" i="1"/>
  <c r="G308" i="1"/>
  <c r="H308" i="1" s="1"/>
  <c r="G310" i="1"/>
  <c r="H310" i="1" s="1"/>
  <c r="G312" i="1"/>
  <c r="H312" i="1" s="1"/>
  <c r="G314" i="1"/>
  <c r="H314" i="1" s="1"/>
  <c r="H268" i="1"/>
  <c r="G265" i="1"/>
  <c r="H265" i="1" s="1"/>
  <c r="G264" i="1"/>
  <c r="H264" i="1" s="1"/>
  <c r="G263" i="1"/>
  <c r="H263" i="1" s="1"/>
  <c r="G262" i="1"/>
  <c r="H262" i="1" s="1"/>
  <c r="G261" i="1"/>
  <c r="H261" i="1" s="1"/>
  <c r="G260" i="1"/>
  <c r="H260" i="1" s="1"/>
  <c r="G257" i="1"/>
  <c r="H257" i="1" s="1"/>
  <c r="H256" i="1"/>
  <c r="H255" i="1"/>
  <c r="H254" i="1"/>
  <c r="H253" i="1"/>
  <c r="H252" i="1"/>
  <c r="G251" i="1"/>
  <c r="H251" i="1" s="1"/>
  <c r="H248" i="1"/>
  <c r="H247" i="1"/>
  <c r="H246" i="1"/>
  <c r="H245" i="1"/>
  <c r="H244" i="1"/>
  <c r="H243" i="1"/>
  <c r="G242" i="1"/>
  <c r="H242" i="1" s="1"/>
  <c r="H241" i="1"/>
  <c r="G240" i="1"/>
  <c r="H240" i="1" s="1"/>
  <c r="G239" i="1"/>
  <c r="H239" i="1" s="1"/>
  <c r="H235" i="1"/>
  <c r="G232" i="1"/>
  <c r="H232" i="1" s="1"/>
  <c r="H231" i="1"/>
  <c r="H230" i="1"/>
  <c r="G229" i="1"/>
  <c r="H229" i="1" s="1"/>
  <c r="G228" i="1"/>
  <c r="H228" i="1" s="1"/>
  <c r="G227" i="1"/>
  <c r="H227" i="1" s="1"/>
  <c r="H226" i="1"/>
  <c r="H225" i="1"/>
  <c r="H224" i="1"/>
  <c r="H223" i="1"/>
  <c r="H222" i="1"/>
  <c r="H221" i="1"/>
  <c r="H220" i="1"/>
  <c r="H219" i="1"/>
  <c r="G218" i="1"/>
  <c r="H218" i="1" s="1"/>
  <c r="H215" i="1"/>
  <c r="H214" i="1"/>
  <c r="H213" i="1"/>
  <c r="H212" i="1"/>
  <c r="H211" i="1"/>
  <c r="H210" i="1"/>
  <c r="G208" i="1"/>
  <c r="H208" i="1" s="1"/>
  <c r="G207" i="1"/>
  <c r="H207" i="1" s="1"/>
  <c r="H206" i="1"/>
  <c r="H205" i="1"/>
  <c r="H202" i="1"/>
  <c r="H201" i="1"/>
  <c r="H200" i="1"/>
  <c r="H199" i="1"/>
  <c r="H198" i="1"/>
  <c r="H197" i="1"/>
  <c r="H196" i="1"/>
  <c r="H195" i="1"/>
  <c r="H194" i="1"/>
  <c r="H193" i="1"/>
  <c r="G192" i="1"/>
  <c r="H192" i="1" s="1"/>
  <c r="G191" i="1"/>
  <c r="H191" i="1" s="1"/>
  <c r="H190" i="1"/>
  <c r="H189" i="1"/>
  <c r="H187" i="1"/>
  <c r="H186" i="1"/>
  <c r="H185" i="1"/>
  <c r="H184" i="1"/>
  <c r="H183" i="1"/>
  <c r="H182" i="1"/>
  <c r="G181" i="1"/>
  <c r="H181" i="1" s="1"/>
  <c r="H180" i="1"/>
  <c r="H179" i="1"/>
  <c r="H178" i="1"/>
  <c r="H177" i="1"/>
  <c r="G176" i="1"/>
  <c r="H176" i="1" s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59" i="1"/>
  <c r="H158" i="1"/>
  <c r="H157" i="1"/>
  <c r="H156" i="1"/>
  <c r="H155" i="1"/>
  <c r="H154" i="1"/>
  <c r="H153" i="1"/>
  <c r="H152" i="1"/>
  <c r="H149" i="1"/>
  <c r="H148" i="1"/>
  <c r="G147" i="1"/>
  <c r="H147" i="1" s="1"/>
  <c r="H146" i="1"/>
  <c r="H144" i="1"/>
  <c r="G142" i="1"/>
  <c r="G145" i="1" s="1"/>
  <c r="H145" i="1" s="1"/>
  <c r="H141" i="1"/>
  <c r="H140" i="1"/>
  <c r="H139" i="1"/>
  <c r="H138" i="1"/>
  <c r="H137" i="1"/>
  <c r="G136" i="1"/>
  <c r="H136" i="1" s="1"/>
  <c r="H135" i="1"/>
  <c r="H134" i="1"/>
  <c r="G133" i="1"/>
  <c r="H133" i="1" s="1"/>
  <c r="H132" i="1"/>
  <c r="H131" i="1"/>
  <c r="G130" i="1"/>
  <c r="H130" i="1" s="1"/>
  <c r="H129" i="1"/>
  <c r="G128" i="1"/>
  <c r="H128" i="1" s="1"/>
  <c r="H127" i="1"/>
  <c r="G126" i="1"/>
  <c r="H126" i="1" s="1"/>
  <c r="H125" i="1"/>
  <c r="G124" i="1"/>
  <c r="H124" i="1" s="1"/>
  <c r="H123" i="1"/>
  <c r="G122" i="1"/>
  <c r="H122" i="1" s="1"/>
  <c r="H121" i="1"/>
  <c r="G120" i="1"/>
  <c r="H120" i="1" s="1"/>
  <c r="H119" i="1"/>
  <c r="H118" i="1"/>
  <c r="H117" i="1"/>
  <c r="H116" i="1"/>
  <c r="G115" i="1"/>
  <c r="H115" i="1" s="1"/>
  <c r="G114" i="1"/>
  <c r="H114" i="1" s="1"/>
  <c r="H113" i="1"/>
  <c r="G112" i="1"/>
  <c r="H112" i="1" s="1"/>
  <c r="H111" i="1"/>
  <c r="H110" i="1"/>
  <c r="H109" i="1"/>
  <c r="G107" i="1"/>
  <c r="H107" i="1" s="1"/>
  <c r="G106" i="1"/>
  <c r="H106" i="1" s="1"/>
  <c r="H105" i="1"/>
  <c r="H104" i="1"/>
  <c r="H103" i="1"/>
  <c r="H102" i="1"/>
  <c r="H101" i="1"/>
  <c r="H100" i="1"/>
  <c r="H99" i="1"/>
  <c r="H98" i="1"/>
  <c r="H97" i="1"/>
  <c r="H236" i="1"/>
  <c r="H95" i="1"/>
  <c r="H92" i="1"/>
  <c r="H91" i="1"/>
  <c r="H90" i="1"/>
  <c r="H89" i="1"/>
  <c r="H88" i="1"/>
  <c r="H85" i="1"/>
  <c r="H84" i="1"/>
  <c r="G83" i="1"/>
  <c r="H83" i="1" s="1"/>
  <c r="H82" i="1"/>
  <c r="H81" i="1"/>
  <c r="G80" i="1"/>
  <c r="H80" i="1" s="1"/>
  <c r="H79" i="1"/>
  <c r="H78" i="1"/>
  <c r="G77" i="1"/>
  <c r="H77" i="1" s="1"/>
  <c r="G76" i="1"/>
  <c r="H76" i="1" s="1"/>
  <c r="G75" i="1"/>
  <c r="H75" i="1" s="1"/>
  <c r="G73" i="1"/>
  <c r="G74" i="1" s="1"/>
  <c r="H74" i="1" s="1"/>
  <c r="G72" i="1"/>
  <c r="H72" i="1" s="1"/>
  <c r="H71" i="1"/>
  <c r="H70" i="1"/>
  <c r="H69" i="1"/>
  <c r="G67" i="1"/>
  <c r="H67" i="1" s="1"/>
  <c r="G66" i="1"/>
  <c r="H66" i="1" s="1"/>
  <c r="G63" i="1"/>
  <c r="H63" i="1" s="1"/>
  <c r="G61" i="1"/>
  <c r="H61" i="1" s="1"/>
  <c r="H58" i="1"/>
  <c r="G57" i="1"/>
  <c r="G59" i="1" s="1"/>
  <c r="H59" i="1" s="1"/>
  <c r="H56" i="1"/>
  <c r="H55" i="1"/>
  <c r="G53" i="1"/>
  <c r="G54" i="1" s="1"/>
  <c r="H54" i="1" s="1"/>
  <c r="H52" i="1"/>
  <c r="G51" i="1"/>
  <c r="H51" i="1" s="1"/>
  <c r="H50" i="1"/>
  <c r="H49" i="1"/>
  <c r="H48" i="1"/>
  <c r="H47" i="1"/>
  <c r="H46" i="1"/>
  <c r="H44" i="1"/>
  <c r="H43" i="1"/>
  <c r="H42" i="1"/>
  <c r="H41" i="1"/>
  <c r="G40" i="1"/>
  <c r="H40" i="1" s="1"/>
  <c r="G39" i="1"/>
  <c r="H39" i="1" s="1"/>
  <c r="H38" i="1"/>
  <c r="H37" i="1"/>
  <c r="G36" i="1"/>
  <c r="H36" i="1" s="1"/>
  <c r="H35" i="1"/>
  <c r="H34" i="1"/>
  <c r="G33" i="1"/>
  <c r="H33" i="1" s="1"/>
  <c r="H32" i="1"/>
  <c r="G31" i="1"/>
  <c r="H31" i="1" s="1"/>
  <c r="H30" i="1"/>
  <c r="H29" i="1"/>
  <c r="H28" i="1"/>
  <c r="H27" i="1"/>
  <c r="G26" i="1"/>
  <c r="H26" i="1" s="1"/>
  <c r="H25" i="1"/>
  <c r="G24" i="1"/>
  <c r="H24" i="1" s="1"/>
  <c r="H23" i="1"/>
  <c r="G431" i="1" l="1"/>
  <c r="H428" i="1"/>
  <c r="H53" i="1"/>
  <c r="H57" i="1"/>
  <c r="H73" i="1"/>
  <c r="G60" i="1"/>
  <c r="H60" i="1" s="1"/>
  <c r="G62" i="1"/>
  <c r="H62" i="1" s="1"/>
  <c r="G64" i="1"/>
  <c r="G68" i="1"/>
  <c r="H68" i="1" s="1"/>
  <c r="G108" i="1"/>
  <c r="H108" i="1" s="1"/>
  <c r="H142" i="1"/>
  <c r="G434" i="1" l="1"/>
  <c r="H431" i="1"/>
  <c r="H64" i="1"/>
  <c r="G65" i="1"/>
  <c r="H65" i="1" s="1"/>
  <c r="G437" i="1" l="1"/>
  <c r="H434" i="1"/>
  <c r="H437" i="1" l="1"/>
  <c r="G440" i="1"/>
  <c r="G443" i="1" l="1"/>
  <c r="H440" i="1"/>
  <c r="G446" i="1" l="1"/>
  <c r="H446" i="1" s="1"/>
  <c r="H443" i="1"/>
</calcChain>
</file>

<file path=xl/sharedStrings.xml><?xml version="1.0" encoding="utf-8"?>
<sst xmlns="http://schemas.openxmlformats.org/spreadsheetml/2006/main" count="1634" uniqueCount="878">
  <si>
    <t xml:space="preserve"> Объем  издел.</t>
  </si>
  <si>
    <t>Марка  бетона</t>
  </si>
  <si>
    <t xml:space="preserve">    Р А З М Е Р Ы (м) :</t>
  </si>
  <si>
    <t>Наименование</t>
  </si>
  <si>
    <t xml:space="preserve">  С Е Р И Я ,</t>
  </si>
  <si>
    <t xml:space="preserve">  изделий</t>
  </si>
  <si>
    <t xml:space="preserve">  Г О С Т,</t>
  </si>
  <si>
    <t xml:space="preserve"> Изделия  для  строительства  наружных  сетей -  ЛОТКИ  для КАНАЛОВ, СЕТЕЙ.</t>
  </si>
  <si>
    <t>с.3.006.1-2.87 в.1</t>
  </si>
  <si>
    <t xml:space="preserve"> Лоток  Л 34-8</t>
  </si>
  <si>
    <t>c3.006.1-2.87в.1</t>
  </si>
  <si>
    <t>В 30</t>
  </si>
  <si>
    <t>2,97*3,38*1,68</t>
  </si>
  <si>
    <t xml:space="preserve"> Лоток  Л 29-11</t>
  </si>
  <si>
    <t>2,97*2,78*1,36</t>
  </si>
  <si>
    <t xml:space="preserve"> Лоток  Л 29-8</t>
  </si>
  <si>
    <t>В 25</t>
  </si>
  <si>
    <t xml:space="preserve"> Лоток  Л 29д-8</t>
  </si>
  <si>
    <t>0,72*2,78*1,36</t>
  </si>
  <si>
    <t xml:space="preserve"> Лоток  Л 28-8</t>
  </si>
  <si>
    <t>2,97*2,78*1,06</t>
  </si>
  <si>
    <t xml:space="preserve"> Лоток  Л 28-8а</t>
  </si>
  <si>
    <t xml:space="preserve"> Лоток  Л 25-11</t>
  </si>
  <si>
    <t>2,97*2,46*1,34</t>
  </si>
  <si>
    <t xml:space="preserve"> Лоток  Л 25-8</t>
  </si>
  <si>
    <t xml:space="preserve"> Лоток  Л 25д-8</t>
  </si>
  <si>
    <t>0,72*2,46*1,34</t>
  </si>
  <si>
    <t xml:space="preserve"> Лоток  Л 24-8/2</t>
  </si>
  <si>
    <t>2,97*2,46*1,04</t>
  </si>
  <si>
    <t xml:space="preserve"> Лоток  Л 24д-8</t>
  </si>
  <si>
    <t>0,72*2,46*1,04</t>
  </si>
  <si>
    <t xml:space="preserve"> Лоток  Л 20-11</t>
  </si>
  <si>
    <t>5,97*2,16*1,04</t>
  </si>
  <si>
    <t xml:space="preserve"> Лоток  Л 20д-11</t>
  </si>
  <si>
    <t>0,72*2,16*1,04</t>
  </si>
  <si>
    <t xml:space="preserve"> Лоток  Л 18-8</t>
  </si>
  <si>
    <t>В 15</t>
  </si>
  <si>
    <t>5,97*1,84*1,64</t>
  </si>
  <si>
    <t xml:space="preserve"> Лоток  Л 18д-8</t>
  </si>
  <si>
    <t>0,72*1,84*1,64</t>
  </si>
  <si>
    <t xml:space="preserve"> Лоток  Л 16-8</t>
  </si>
  <si>
    <t>5,97*1,84*1,03</t>
  </si>
  <si>
    <t xml:space="preserve"> Лоток  Л 16-8/2</t>
  </si>
  <si>
    <t>2,985*1,84*1,03</t>
  </si>
  <si>
    <t xml:space="preserve"> Лоток  Л 16д-8</t>
  </si>
  <si>
    <t>0,72*1,84*1,03</t>
  </si>
  <si>
    <t xml:space="preserve"> Лоток  Л 15 -8</t>
  </si>
  <si>
    <t>5,97*1,84*0,72</t>
  </si>
  <si>
    <t xml:space="preserve"> Лоток  Л 15 -8/2</t>
  </si>
  <si>
    <t>2,98*1,84*0,72</t>
  </si>
  <si>
    <t xml:space="preserve"> Лоток  Л 14-8</t>
  </si>
  <si>
    <t>5,97*1,84*0,57</t>
  </si>
  <si>
    <t xml:space="preserve"> Лоток  Л 14-8/2</t>
  </si>
  <si>
    <t>2,98*1,84*0,57</t>
  </si>
  <si>
    <t xml:space="preserve"> Лоток  Л 14д-8</t>
  </si>
  <si>
    <t>0,72*1,84*0,57</t>
  </si>
  <si>
    <t xml:space="preserve"> Лоток  Л 13- 8</t>
  </si>
  <si>
    <t>5,97*1,48*1,32</t>
  </si>
  <si>
    <t xml:space="preserve"> Лоток  Л 13-8/2</t>
  </si>
  <si>
    <t>2,98*1,48*1,32</t>
  </si>
  <si>
    <t xml:space="preserve"> Лоток  Л 13д-8</t>
  </si>
  <si>
    <t>0,72*1,48*1,32</t>
  </si>
  <si>
    <t xml:space="preserve"> Лоток  Л 13- 11</t>
  </si>
  <si>
    <t xml:space="preserve"> Лоток  Л 13- 11/2</t>
  </si>
  <si>
    <t xml:space="preserve"> Лоток  Л 13д- 11</t>
  </si>
  <si>
    <t xml:space="preserve"> Лоток  Л 12-8</t>
  </si>
  <si>
    <t>5,97*1,48*1,01</t>
  </si>
  <si>
    <t xml:space="preserve"> Лоток  Л 12-8/2</t>
  </si>
  <si>
    <t>2,98*1,48*1,01</t>
  </si>
  <si>
    <t xml:space="preserve"> Лоток  Л 12д-8</t>
  </si>
  <si>
    <t>0,72*1,48*1,01</t>
  </si>
  <si>
    <t xml:space="preserve"> Лоток  Л 11-11</t>
  </si>
  <si>
    <t>5,97*1,48*0,7</t>
  </si>
  <si>
    <t xml:space="preserve"> Лоток  Л 11-8</t>
  </si>
  <si>
    <t xml:space="preserve"> Лоток  ЛУ  11-8</t>
  </si>
  <si>
    <t xml:space="preserve"> Лоток  Л 11-8/2</t>
  </si>
  <si>
    <t>2,985*1,48*0,7</t>
  </si>
  <si>
    <t xml:space="preserve"> Лоток  Л 11д-8</t>
  </si>
  <si>
    <t>0,72*1,48*0,7</t>
  </si>
  <si>
    <t xml:space="preserve"> Лоток  Л 10-8</t>
  </si>
  <si>
    <t>5,97*1,48*0,55</t>
  </si>
  <si>
    <t xml:space="preserve"> Лоток  Л 10-8/2</t>
  </si>
  <si>
    <t>2,99*1,48*0,55</t>
  </si>
  <si>
    <t xml:space="preserve"> Лоток  Л 8-8</t>
  </si>
  <si>
    <t>c3.006.1-2/82 в1-1</t>
  </si>
  <si>
    <t>5,98*1,16*1</t>
  </si>
  <si>
    <t xml:space="preserve"> Лоток  Л 8-8/2</t>
  </si>
  <si>
    <t>2,99*1,16*1</t>
  </si>
  <si>
    <t xml:space="preserve"> Лоток  Л 8д -8</t>
  </si>
  <si>
    <t>0,72*1,16*1</t>
  </si>
  <si>
    <t xml:space="preserve"> Лоток  Л 8- 5</t>
  </si>
  <si>
    <t xml:space="preserve"> Лоток  Л 7-8</t>
  </si>
  <si>
    <t>5,97*1,16*0,68</t>
  </si>
  <si>
    <t xml:space="preserve"> Лоток  Л 7-8/2</t>
  </si>
  <si>
    <t>2,975*1,16*0,68</t>
  </si>
  <si>
    <t xml:space="preserve"> Лоток  Л 7д -8</t>
  </si>
  <si>
    <t xml:space="preserve"> Лоток  Л 6-8</t>
  </si>
  <si>
    <t>5,97*1,16*0,53</t>
  </si>
  <si>
    <t xml:space="preserve"> Лоток  Л 6-8/2</t>
  </si>
  <si>
    <t>2,975*1,16*0,53</t>
  </si>
  <si>
    <t xml:space="preserve"> Лоток  Л 6д-8</t>
  </si>
  <si>
    <t>0,72*1,16*0,53</t>
  </si>
  <si>
    <t xml:space="preserve"> Лоток  Л 5-8</t>
  </si>
  <si>
    <t>5,98*0,78*0,68</t>
  </si>
  <si>
    <t xml:space="preserve"> Лоток  Л 5-8/2</t>
  </si>
  <si>
    <t>2,975*0,78*0,68</t>
  </si>
  <si>
    <t xml:space="preserve"> Лоток  Л 5д-8</t>
  </si>
  <si>
    <t>0,72*0,78*0,68</t>
  </si>
  <si>
    <t xml:space="preserve"> Лоток  Л 4-15</t>
  </si>
  <si>
    <t>5,98*0,78*0,53</t>
  </si>
  <si>
    <t xml:space="preserve"> Лоток  Л 4-8</t>
  </si>
  <si>
    <t xml:space="preserve"> Лоток  Л 4- 8/2</t>
  </si>
  <si>
    <t>2,975*0,78*0,53</t>
  </si>
  <si>
    <t xml:space="preserve"> Лоток  Л 4д- 8</t>
  </si>
  <si>
    <t>0,72*0,78*0,53</t>
  </si>
  <si>
    <t xml:space="preserve"> Лоток  Л 2-8</t>
  </si>
  <si>
    <t>5,97*0,57*0,36</t>
  </si>
  <si>
    <t xml:space="preserve"> Лоток  Л 2-8/2</t>
  </si>
  <si>
    <t>2,98*0,57*0,36</t>
  </si>
  <si>
    <t xml:space="preserve"> Лоток  Л 2д-8</t>
  </si>
  <si>
    <t>0,72*0,57*0,36</t>
  </si>
  <si>
    <t xml:space="preserve"> Лоток  Л 2-15</t>
  </si>
  <si>
    <t xml:space="preserve"> Лоток  Л 2-15/2</t>
  </si>
  <si>
    <t xml:space="preserve"> Лоток  Л 2д-15</t>
  </si>
  <si>
    <t xml:space="preserve">         Блок  междупутного  лотка  с  дренажными  отверстиями :</t>
  </si>
  <si>
    <r>
      <t xml:space="preserve">МПЛ 0,75 тип </t>
    </r>
    <r>
      <rPr>
        <sz val="8"/>
        <rFont val="Calibri"/>
        <family val="2"/>
        <charset val="204"/>
      </rPr>
      <t>ll</t>
    </r>
  </si>
  <si>
    <t>с.984</t>
  </si>
  <si>
    <t>В 22,5</t>
  </si>
  <si>
    <t>1,5*0,7/0,5*0,85/0,75</t>
  </si>
  <si>
    <t>МПЛ 1,25 тип ll</t>
  </si>
  <si>
    <t>1,5*0,7/0,5*1,35/1,25</t>
  </si>
  <si>
    <t>Крышка лотка К 70*75 тип ll</t>
  </si>
  <si>
    <t>0,75*0,7*0,07</t>
  </si>
  <si>
    <t>раб.чертижи</t>
  </si>
  <si>
    <t>1*0,4*0,45</t>
  </si>
  <si>
    <t>Крышка лотка К 1-0,4 тип l (( дл. 1,0м )</t>
  </si>
  <si>
    <t>1*0,7*0,07</t>
  </si>
  <si>
    <t>раб. чертижи</t>
  </si>
  <si>
    <t xml:space="preserve">            Лотки кабельные, водоотводные и плиты перекрытия</t>
  </si>
  <si>
    <t>Рабоч. Чертежи</t>
  </si>
  <si>
    <t>1*0,46*0,28</t>
  </si>
  <si>
    <t>Плита П 10.5</t>
  </si>
  <si>
    <t>с.3.407.1-157в.1</t>
  </si>
  <si>
    <t>1*0,5*0,06</t>
  </si>
  <si>
    <t xml:space="preserve">     Плиты  перекрытия  каналов,тоннелей.</t>
  </si>
  <si>
    <t xml:space="preserve"> Пл пер П 4-15</t>
  </si>
  <si>
    <t>с3.006.1-2/87 в2</t>
  </si>
  <si>
    <t>0,74*0,57*0,1</t>
  </si>
  <si>
    <t xml:space="preserve"> Пл пер П3- 8 дл.3м</t>
  </si>
  <si>
    <t>2,99*0,57*0,07</t>
  </si>
  <si>
    <t xml:space="preserve"> Пл пер П5- 8</t>
  </si>
  <si>
    <t>2,99*0,78*0,07</t>
  </si>
  <si>
    <t xml:space="preserve"> Пл пер П5д- 8</t>
  </si>
  <si>
    <t>0,74*0,78*0,07</t>
  </si>
  <si>
    <t xml:space="preserve"> Пл пер П6-15</t>
  </si>
  <si>
    <t>2,99*0,78*0,12</t>
  </si>
  <si>
    <t xml:space="preserve"> Пл пер П8- 11</t>
  </si>
  <si>
    <t>2,99*1,16*0,1</t>
  </si>
  <si>
    <t xml:space="preserve"> Пл пер П8- 8</t>
  </si>
  <si>
    <t xml:space="preserve"> Пл пер П 8д- 8</t>
  </si>
  <si>
    <t>0,74*1,16*0,1</t>
  </si>
  <si>
    <t xml:space="preserve"> Пл пер П 7 д- 8</t>
  </si>
  <si>
    <t>0,74*1,16*0,07</t>
  </si>
  <si>
    <t xml:space="preserve"> Пл пер П9-15</t>
  </si>
  <si>
    <t>2,99*1,16*0,12</t>
  </si>
  <si>
    <t xml:space="preserve"> Пл пер П10-5</t>
  </si>
  <si>
    <t>2,99*1,48*0,07</t>
  </si>
  <si>
    <t xml:space="preserve"> Пл пер П10 д-3</t>
  </si>
  <si>
    <t>0,74*1,48*0,07</t>
  </si>
  <si>
    <t xml:space="preserve"> Пл пер П11- 8</t>
  </si>
  <si>
    <t>2,99*1,48*0,1</t>
  </si>
  <si>
    <t xml:space="preserve"> Пл пер П11д- 8</t>
  </si>
  <si>
    <t>0,74*1,48*0,1</t>
  </si>
  <si>
    <t xml:space="preserve"> Пл пер П12- 12</t>
  </si>
  <si>
    <t>2,99*1,48*0,16</t>
  </si>
  <si>
    <t xml:space="preserve"> Пл пер П12д- 12</t>
  </si>
  <si>
    <t>0,74*1,48*0,16</t>
  </si>
  <si>
    <t xml:space="preserve"> Пл пер П12- 15</t>
  </si>
  <si>
    <t xml:space="preserve"> Пл пер П12д- 15</t>
  </si>
  <si>
    <t xml:space="preserve"> Пл пер П13-11б</t>
  </si>
  <si>
    <t>2,99*1,48*0,12</t>
  </si>
  <si>
    <t xml:space="preserve"> Пл пер П14 -3</t>
  </si>
  <si>
    <t>2,99*1,84*0,09</t>
  </si>
  <si>
    <t>2,99*1,84*0,12</t>
  </si>
  <si>
    <t xml:space="preserve"> Пл пер П14д -3</t>
  </si>
  <si>
    <t>0,74*1,84*0,09</t>
  </si>
  <si>
    <t xml:space="preserve"> Пл пер П15 -8</t>
  </si>
  <si>
    <t xml:space="preserve"> Пл пер П15 -5</t>
  </si>
  <si>
    <t xml:space="preserve"> Пл пер П15д -8</t>
  </si>
  <si>
    <t>0,74*1,84*0,12</t>
  </si>
  <si>
    <t xml:space="preserve"> Пл пер П16 -15</t>
  </si>
  <si>
    <t xml:space="preserve"> Пл пер П16д -15</t>
  </si>
  <si>
    <t xml:space="preserve"> Пл пер П18-8</t>
  </si>
  <si>
    <t>2,99*2,16*0,15</t>
  </si>
  <si>
    <t xml:space="preserve"> Пл пер П18д-8</t>
  </si>
  <si>
    <t>0,740*2,16*0,15</t>
  </si>
  <si>
    <t xml:space="preserve"> Пл пер П19-11</t>
  </si>
  <si>
    <t>2,99*2.16*0,25</t>
  </si>
  <si>
    <t xml:space="preserve"> Пл пер П19д-11</t>
  </si>
  <si>
    <t>0,74*2,16*0,25</t>
  </si>
  <si>
    <t xml:space="preserve"> Пл пер П20-3</t>
  </si>
  <si>
    <t>2,99*2.46*0,14</t>
  </si>
  <si>
    <t xml:space="preserve"> Пл пер П20д-3</t>
  </si>
  <si>
    <t>0,74*2,46*0,14</t>
  </si>
  <si>
    <t xml:space="preserve"> Пл пер П21-5</t>
  </si>
  <si>
    <t>2,99*2,46*0,16</t>
  </si>
  <si>
    <t xml:space="preserve"> Пл пер П21д- 5</t>
  </si>
  <si>
    <t>0,74*2,46*0,16</t>
  </si>
  <si>
    <t xml:space="preserve"> Пл пер П21-8</t>
  </si>
  <si>
    <t xml:space="preserve"> Пл пер П21д-8</t>
  </si>
  <si>
    <t xml:space="preserve"> Пл пер П22-12</t>
  </si>
  <si>
    <t>2,99*2,46*0,25</t>
  </si>
  <si>
    <t xml:space="preserve"> Пл пер П22д-12</t>
  </si>
  <si>
    <t xml:space="preserve"> Пл пер П22-15</t>
  </si>
  <si>
    <t xml:space="preserve"> Пл пер П24-5</t>
  </si>
  <si>
    <t>2,99*2,78*0,18</t>
  </si>
  <si>
    <t xml:space="preserve"> Пл пер П24д-5</t>
  </si>
  <si>
    <t>0,74*2,78*0,18</t>
  </si>
  <si>
    <t xml:space="preserve"> Пл пер П24-8</t>
  </si>
  <si>
    <t xml:space="preserve"> Пл пер П24д-8</t>
  </si>
  <si>
    <t xml:space="preserve"> Пл пер П25-12</t>
  </si>
  <si>
    <t>2,99*2,78*0,25</t>
  </si>
  <si>
    <t xml:space="preserve"> Пл пер П25д -12</t>
  </si>
  <si>
    <t>0,74*2,78*0,25</t>
  </si>
  <si>
    <t xml:space="preserve"> Пл пер П25-15</t>
  </si>
  <si>
    <t xml:space="preserve"> Пл пер П25д -15</t>
  </si>
  <si>
    <t xml:space="preserve"> Пл пер П27-8</t>
  </si>
  <si>
    <t>2,99*3,38*0,25</t>
  </si>
  <si>
    <t xml:space="preserve"> Пл пер П27д-8</t>
  </si>
  <si>
    <t>0,74*3,38*0,25</t>
  </si>
  <si>
    <t xml:space="preserve"> Пл пер П28-12</t>
  </si>
  <si>
    <t xml:space="preserve"> Пл пер П28-15</t>
  </si>
  <si>
    <t>Цена</t>
  </si>
  <si>
    <t>без НДС,</t>
  </si>
  <si>
    <t>руб.</t>
  </si>
  <si>
    <t>Вес, тн.</t>
  </si>
  <si>
    <t xml:space="preserve">Цена </t>
  </si>
  <si>
    <t>с НДС,</t>
  </si>
  <si>
    <t>Балки  лотковых  элементов</t>
  </si>
  <si>
    <t>Балка  Б-1</t>
  </si>
  <si>
    <t>1,16*0,15х0,3</t>
  </si>
  <si>
    <t>Балка  Б-2</t>
  </si>
  <si>
    <t>1,48х0,2х0,3</t>
  </si>
  <si>
    <t>Балка  Б-3</t>
  </si>
  <si>
    <t>1,84х0,25х0,3</t>
  </si>
  <si>
    <t>Балка  Б-4</t>
  </si>
  <si>
    <t>2,16х0,3х0,3</t>
  </si>
  <si>
    <t>Балка  Б-5</t>
  </si>
  <si>
    <t>2,65х0,3х0,3</t>
  </si>
  <si>
    <t>Балка  Б-6</t>
  </si>
  <si>
    <t>2,78х0,3х0,3</t>
  </si>
  <si>
    <t>Балка  Б-7</t>
  </si>
  <si>
    <t>3,38х0,35х0,6</t>
  </si>
  <si>
    <t>Балка  Б-8</t>
  </si>
  <si>
    <t>4,25*0,45х0,6</t>
  </si>
  <si>
    <t>с.3.006.1- 8.1- 2.</t>
  </si>
  <si>
    <t>1,48х0,12х0,38</t>
  </si>
  <si>
    <t>2,2х0,2х0,38</t>
  </si>
  <si>
    <t>2,46х0,2х0,38</t>
  </si>
  <si>
    <t>2,75х0,2х0,38</t>
  </si>
  <si>
    <t>2,84х0,3х0,38</t>
  </si>
  <si>
    <t>3,37х0,3х0,38</t>
  </si>
  <si>
    <t>3,58х0,3х0,38</t>
  </si>
  <si>
    <t>1,5х0,25х0,500</t>
  </si>
  <si>
    <t>Балка  Б-9</t>
  </si>
  <si>
    <t>2,28х0,25х0,50</t>
  </si>
  <si>
    <t>Балка  Б- 10</t>
  </si>
  <si>
    <t>2,54х0,25х0,50</t>
  </si>
  <si>
    <t>Балка  Б-11</t>
  </si>
  <si>
    <t>4,08х0,4х0,5</t>
  </si>
  <si>
    <t>Балка  Б-12</t>
  </si>
  <si>
    <t>4,27х0,4х0,5</t>
  </si>
  <si>
    <t>Балка  Б-13</t>
  </si>
  <si>
    <t xml:space="preserve"> Кольцо КС 7-9</t>
  </si>
  <si>
    <t xml:space="preserve"> Кольцо КС 7-6</t>
  </si>
  <si>
    <t xml:space="preserve"> Кольцо КС 7-3</t>
  </si>
  <si>
    <t xml:space="preserve"> Кольцо КС 10-9</t>
  </si>
  <si>
    <t xml:space="preserve"> Кольцо КС 10-6</t>
  </si>
  <si>
    <t xml:space="preserve"> Кольцо КС 10-3</t>
  </si>
  <si>
    <t xml:space="preserve"> Кольцо КС 15-9</t>
  </si>
  <si>
    <t xml:space="preserve"> Кольцо КС 15-6</t>
  </si>
  <si>
    <t xml:space="preserve"> Пл пер ПП10-1</t>
  </si>
  <si>
    <t>d-1,16 h-0,15</t>
  </si>
  <si>
    <t xml:space="preserve"> Пл пер ПП10-2</t>
  </si>
  <si>
    <t xml:space="preserve"> Пл пер  1 ПП15-1</t>
  </si>
  <si>
    <t>d-1,68 h-0,15, отв.700</t>
  </si>
  <si>
    <t xml:space="preserve"> Пл пер  1 ПП15-2</t>
  </si>
  <si>
    <t xml:space="preserve"> Пл пер   3 ПП15-1</t>
  </si>
  <si>
    <t>d-1,68 h-0,15, отв.1000</t>
  </si>
  <si>
    <t xml:space="preserve"> Пл пер  3 ПП15-2</t>
  </si>
  <si>
    <t xml:space="preserve"> Пл дн ПН 10</t>
  </si>
  <si>
    <t>d-1,5 h-0,1</t>
  </si>
  <si>
    <t xml:space="preserve"> ПЛ дн ПН 15 </t>
  </si>
  <si>
    <t>d-2,0 h-0,12</t>
  </si>
  <si>
    <t>Пл .дн. КЦД 7 -прям.вариант</t>
  </si>
  <si>
    <t>ТМП 902-09.46.88</t>
  </si>
  <si>
    <t>0,9х0,9х0,1м</t>
  </si>
  <si>
    <t>Плита пер.КЦП 2-7 -прям.вариант.</t>
  </si>
  <si>
    <t>Пл. КЦП 3-10-прям.вариант</t>
  </si>
  <si>
    <t>Пл. КЦП 4-10-прям.вариант</t>
  </si>
  <si>
    <t xml:space="preserve">Пл.ПД 6 </t>
  </si>
  <si>
    <t>с.3.900.1-14в.1</t>
  </si>
  <si>
    <t>В 20</t>
  </si>
  <si>
    <t>Пл.  КЦО-3</t>
  </si>
  <si>
    <t>с.3.900-3в.7</t>
  </si>
  <si>
    <t>Пл.ПД 10 -прям.вариант</t>
  </si>
  <si>
    <t>Пл.  КЦО- 4 -прям.вариант</t>
  </si>
  <si>
    <t xml:space="preserve">с.3.900-3в.7 </t>
  </si>
  <si>
    <t xml:space="preserve">                   Плиты  покрытия    камер  ПО</t>
  </si>
  <si>
    <t>ПО-1</t>
  </si>
  <si>
    <t xml:space="preserve">с3.006.1-2/87.6 </t>
  </si>
  <si>
    <t>2,3*2,0*0,18</t>
  </si>
  <si>
    <t>ПО - 2</t>
  </si>
  <si>
    <t>1,45*1,5*0,12</t>
  </si>
  <si>
    <t>ПО-3</t>
  </si>
  <si>
    <t>1,75*1,5*0,16</t>
  </si>
  <si>
    <t>2,3*1,5*0,2</t>
  </si>
  <si>
    <t xml:space="preserve">                   Плиты  покрытия    камер  ПТ-1</t>
  </si>
  <si>
    <t>ПТ-1</t>
  </si>
  <si>
    <t>ш.105-01-АС</t>
  </si>
  <si>
    <t>5,05*1,55*0,3</t>
  </si>
  <si>
    <t>ПОТ-1 а (1 отв)</t>
  </si>
  <si>
    <t>ш.142-02-АС</t>
  </si>
  <si>
    <t>ПОТ - 1 б (2 отв)</t>
  </si>
  <si>
    <t>ш.076-03-АС</t>
  </si>
  <si>
    <t>ПТ-2</t>
  </si>
  <si>
    <t>3,74*1,55*0,25</t>
  </si>
  <si>
    <t>ПОТ-2  (1 отв)</t>
  </si>
  <si>
    <t>ПОТ - 2а (2 отв)</t>
  </si>
  <si>
    <t>ш.115-01-АС</t>
  </si>
  <si>
    <t xml:space="preserve">                Сетевой и подстанционный сборный железобетон</t>
  </si>
  <si>
    <t>с.3.407.1-157.1</t>
  </si>
  <si>
    <t>0,8*0,8*0,35</t>
  </si>
  <si>
    <t>Плита  НСП 35.15.</t>
  </si>
  <si>
    <t>3,5*1,5*0,25</t>
  </si>
  <si>
    <t>Плита  НСП 35.10.</t>
  </si>
  <si>
    <t>3,5*1,0*0,25</t>
  </si>
  <si>
    <t>стойка УСО 1а</t>
  </si>
  <si>
    <t>с.3.407-102 в.1.</t>
  </si>
  <si>
    <t>5,2*0,25*0,25</t>
  </si>
  <si>
    <t>стойка УСО 2а</t>
  </si>
  <si>
    <t>4,4*0,25*0,25</t>
  </si>
  <si>
    <t>стойка УСО 3а</t>
  </si>
  <si>
    <t>3,4*0,25*0,25</t>
  </si>
  <si>
    <t>стойка УСО 4а</t>
  </si>
  <si>
    <t>3,0*0,25*0,25</t>
  </si>
  <si>
    <t>стойка УСО 5а  (с 1з/д)</t>
  </si>
  <si>
    <t>2,2*0,25*0,25</t>
  </si>
  <si>
    <t>стойка УСО 5а-1 (с 2з/д)</t>
  </si>
  <si>
    <t>Анкер цилин.АЦ-1</t>
  </si>
  <si>
    <t>с.3.407.1-143 в.7</t>
  </si>
  <si>
    <t>d-650 / 580*400</t>
  </si>
  <si>
    <t>Ригель АР-5</t>
  </si>
  <si>
    <t>с.3.407.-115 в5</t>
  </si>
  <si>
    <t>3,0*0,2*0,4</t>
  </si>
  <si>
    <t>Ригель АР-6</t>
  </si>
  <si>
    <t>с.3.407.1-115 в5</t>
  </si>
  <si>
    <t>3,5*0,2*0,5</t>
  </si>
  <si>
    <t>Ригель Р-1</t>
  </si>
  <si>
    <t>1,5*0,14*0,5</t>
  </si>
  <si>
    <t>Ригель Р 1а</t>
  </si>
  <si>
    <t>с.3.407-115 в5</t>
  </si>
  <si>
    <t>Ригель РЦ 3,0-6</t>
  </si>
  <si>
    <t>3,0*0,4*0,2</t>
  </si>
  <si>
    <t>Плита П 3-и</t>
  </si>
  <si>
    <t>d 620мм, h-150мм.</t>
  </si>
  <si>
    <t>Фундамент Ф 8-8</t>
  </si>
  <si>
    <t>Л 20.5 ( Лк 20.5.)</t>
  </si>
  <si>
    <t>с.3407.1-157.1</t>
  </si>
  <si>
    <t>2,0*0,5*0,16</t>
  </si>
  <si>
    <t>Л 20.10( ЛК 20.10)</t>
  </si>
  <si>
    <t>2,0*0,1*0,16</t>
  </si>
  <si>
    <t>Брусок Б 5( БПЛ5.2)</t>
  </si>
  <si>
    <t>0,5*0,1*0,15</t>
  </si>
  <si>
    <t>Брусок Б 10( БПЛ10.2)</t>
  </si>
  <si>
    <t>1,0*0,1*0,15</t>
  </si>
  <si>
    <t>0,995*0,495*0,06</t>
  </si>
  <si>
    <t>Блок БДЛ 40.6</t>
  </si>
  <si>
    <t>3,95*0,56*0,25</t>
  </si>
  <si>
    <t>Лежень ж/б ЛЖ-16</t>
  </si>
  <si>
    <t>1,6*0,5*0,4</t>
  </si>
  <si>
    <t>Лежень ж/б ЛЖ-28</t>
  </si>
  <si>
    <t>2,8*0,5*0,4</t>
  </si>
  <si>
    <t>Лежень ж/б ЛЖ-44</t>
  </si>
  <si>
    <t>4,4*0,5*0,4</t>
  </si>
  <si>
    <t>Лежень ж/б ЛЖ-60</t>
  </si>
  <si>
    <t>6,0*0,5*0,4</t>
  </si>
  <si>
    <t>Лотки, лежни для прокладки кабеля</t>
  </si>
  <si>
    <t>фундамент Ф 1а</t>
  </si>
  <si>
    <t xml:space="preserve"> с.3.407.-115 в.2</t>
  </si>
  <si>
    <t>1,5*1,5*3,2</t>
  </si>
  <si>
    <t>фундамент Ф2а (анкер)</t>
  </si>
  <si>
    <t>1,8*1,8*3,2</t>
  </si>
  <si>
    <t>фундамент Ф3-2(2анкер)</t>
  </si>
  <si>
    <t>1,8*1,8*2,7</t>
  </si>
  <si>
    <t>фундамент Ф 15-15 (закл)</t>
  </si>
  <si>
    <t>с.3.407.1-157.1-ни</t>
  </si>
  <si>
    <t>фундамент Ф 18-18 (закл)</t>
  </si>
  <si>
    <t>фундамент Ф 3а (с оголовкоМ)</t>
  </si>
  <si>
    <t>с.3.407.-115 в.2</t>
  </si>
  <si>
    <t>2,1*2,1*3,4</t>
  </si>
  <si>
    <t>фундамент Ф 5а (с оголовком)</t>
  </si>
  <si>
    <t>2,7*2,7*3,4</t>
  </si>
  <si>
    <t xml:space="preserve">Фундаменты </t>
  </si>
  <si>
    <t xml:space="preserve">  ПТ  60</t>
  </si>
  <si>
    <t>c.3.407-57/87</t>
  </si>
  <si>
    <t>6,0*0,265*0,22/0,12</t>
  </si>
  <si>
    <t xml:space="preserve">  ПТ  45</t>
  </si>
  <si>
    <t>4,5*0,265*0,22/0,12</t>
  </si>
  <si>
    <t xml:space="preserve">  ПТ 43-2</t>
  </si>
  <si>
    <t>4,25*0,22*,18/0,1</t>
  </si>
  <si>
    <t xml:space="preserve">  ПТ 43-1</t>
  </si>
  <si>
    <t>4,25*0,22*0,18/0,1</t>
  </si>
  <si>
    <t xml:space="preserve">  ПТ 33-4</t>
  </si>
  <si>
    <t>3,25*0,22*0,18/0,1</t>
  </si>
  <si>
    <t xml:space="preserve">  ПТ 33-3</t>
  </si>
  <si>
    <t>Гост 6665-91</t>
  </si>
  <si>
    <t>1,0*0,15*0,3</t>
  </si>
  <si>
    <t>1,0*0,18*0,3</t>
  </si>
  <si>
    <t>Изделия  для  строительства  дорог,ограждений,тротуаров</t>
  </si>
  <si>
    <t>Бордюры</t>
  </si>
  <si>
    <t>Бордюр  БР100-30-15</t>
  </si>
  <si>
    <t>Бордюр БР100-30-18</t>
  </si>
  <si>
    <t>Гост21924.0-84</t>
  </si>
  <si>
    <t>3,0*1,75*0,17</t>
  </si>
  <si>
    <t>3,5*2,75*0,17</t>
  </si>
  <si>
    <t>Плита дорожная</t>
  </si>
  <si>
    <t xml:space="preserve"> Плита 2П30-18-10</t>
  </si>
  <si>
    <t xml:space="preserve"> Плита 2П30-18-30</t>
  </si>
  <si>
    <t xml:space="preserve"> Плита 1П30-18-10</t>
  </si>
  <si>
    <t xml:space="preserve"> Плита 1П30-18-30</t>
  </si>
  <si>
    <t xml:space="preserve"> Плита 1П 35-28-30</t>
  </si>
  <si>
    <t xml:space="preserve"> Рабочие  чертежи</t>
  </si>
  <si>
    <t>3,0*0,95*0,75</t>
  </si>
  <si>
    <t>Боков. ж/б барьерное</t>
  </si>
  <si>
    <t>огражд."Будильник"- БО</t>
  </si>
  <si>
    <t>3,0*0,85*0,6</t>
  </si>
  <si>
    <t>1,5*0,5*0,4</t>
  </si>
  <si>
    <t>2,0*0,5*0,4</t>
  </si>
  <si>
    <t>Блок ограждения дорог</t>
  </si>
  <si>
    <t>Блок  Упора  У-1</t>
  </si>
  <si>
    <t>Блок  Упора  У-2</t>
  </si>
  <si>
    <t>Блок РДБ-3</t>
  </si>
  <si>
    <t>Лоток телескоп. Б-6</t>
  </si>
  <si>
    <t>С.3.503.1-66</t>
  </si>
  <si>
    <t>b-0,52    a-0,54</t>
  </si>
  <si>
    <t>Блок упора лотка Б-9</t>
  </si>
  <si>
    <t>0,8*0,51*0,25</t>
  </si>
  <si>
    <t>Блок  Б-5</t>
  </si>
  <si>
    <t>1,0*0,18*0,45</t>
  </si>
  <si>
    <t>Блок . Б-1-22-75</t>
  </si>
  <si>
    <t>1,0*0,75*0,27</t>
  </si>
  <si>
    <t>Блок . Б-1-20-50</t>
  </si>
  <si>
    <t>1,0*0,5*0,25</t>
  </si>
  <si>
    <t>Блок Б-1-20-50</t>
  </si>
  <si>
    <t>0,5*0,5*0,1</t>
  </si>
  <si>
    <t>Пл.  укреп. П-1 прямоуг..</t>
  </si>
  <si>
    <t>6К 7</t>
  </si>
  <si>
    <t>Гост 17608-91</t>
  </si>
  <si>
    <t>0,5*0,5*0,07</t>
  </si>
  <si>
    <t>6К 10</t>
  </si>
  <si>
    <t>Укрепление  откосов насыпи  под  автодорогу  и ж.д.полотно</t>
  </si>
  <si>
    <t>Плитка  тротуарная</t>
  </si>
  <si>
    <t xml:space="preserve"> Плита  ПО-3</t>
  </si>
  <si>
    <t xml:space="preserve"> Серия  ИЖ-31-77</t>
  </si>
  <si>
    <t>2,5*0,15*3,0</t>
  </si>
  <si>
    <t xml:space="preserve"> Плита  П 5в</t>
  </si>
  <si>
    <t>с.3.017-1</t>
  </si>
  <si>
    <t>3,98*0,16*2,5</t>
  </si>
  <si>
    <t xml:space="preserve"> 1 ПБ 40.20</t>
  </si>
  <si>
    <t>с.3.017-3</t>
  </si>
  <si>
    <t>Фундам. Ф 12-7-5</t>
  </si>
  <si>
    <t>1,2х0,7хх0,45</t>
  </si>
  <si>
    <t>Стакан  ФО-2</t>
  </si>
  <si>
    <t xml:space="preserve"> Серия ИЖ-31--77</t>
  </si>
  <si>
    <t>0,95/0,26*0,75/0,36 *0,55/0,45</t>
  </si>
  <si>
    <t>3,98*0,16*2,2</t>
  </si>
  <si>
    <t>1,0*1,0*0,6</t>
  </si>
  <si>
    <t>Пл. П5в"а"(без ног)</t>
  </si>
  <si>
    <t>Фундам.С- 3(без ног)</t>
  </si>
  <si>
    <t xml:space="preserve"> Изделия     для   строительства   забора</t>
  </si>
  <si>
    <t xml:space="preserve"> Блок УДБ-0,6х60</t>
  </si>
  <si>
    <t xml:space="preserve">  СК-707</t>
  </si>
  <si>
    <t>0,6*0,6*0,58</t>
  </si>
  <si>
    <t xml:space="preserve"> Блок УДБ-1,2х60</t>
  </si>
  <si>
    <t>1,2*0,6*0,58</t>
  </si>
  <si>
    <t xml:space="preserve"> Блок УДБ-18х60</t>
  </si>
  <si>
    <t>1,8*0,6*0,58</t>
  </si>
  <si>
    <t xml:space="preserve"> Блок УДБ-24х60</t>
  </si>
  <si>
    <t>2,4*0,6*0,58</t>
  </si>
  <si>
    <t xml:space="preserve"> Блок УДБ-30х60</t>
  </si>
  <si>
    <t>3,0*0,6*0,58</t>
  </si>
  <si>
    <t xml:space="preserve"> Блок УДБ-36х60</t>
  </si>
  <si>
    <t>3,6*0,6*0,58</t>
  </si>
  <si>
    <t xml:space="preserve"> Блок УДБ-42х60</t>
  </si>
  <si>
    <t>4,2*0,6*0,58</t>
  </si>
  <si>
    <t xml:space="preserve"> Блок УДБ-48х60</t>
  </si>
  <si>
    <t>4,8*0,6*0,58</t>
  </si>
  <si>
    <t xml:space="preserve"> Блок УДБ-54х60</t>
  </si>
  <si>
    <t>5,4*0,6*0,58</t>
  </si>
  <si>
    <t xml:space="preserve"> Блок УДБ-60х60</t>
  </si>
  <si>
    <t>6,0*0,6*0,58</t>
  </si>
  <si>
    <t>Универсальные  дырчатые  блоки</t>
  </si>
  <si>
    <t xml:space="preserve">Стоимость 1погон.метра </t>
  </si>
  <si>
    <t>с.1.011.1-10 в.1</t>
  </si>
  <si>
    <t>1п.м. -0,23</t>
  </si>
  <si>
    <t>Свая цельная сеч.300х300мм,               10 нагрузка.</t>
  </si>
  <si>
    <t xml:space="preserve">              Сваи   гражданских сооружений сечением 300х300мм</t>
  </si>
  <si>
    <t xml:space="preserve">Свая цельная сеч.300х300мм,                   С 40-30-3         </t>
  </si>
  <si>
    <t>Свая цельная сеч.300х300мм,                  6 нагрузка.</t>
  </si>
  <si>
    <t>Свая цельная сеч.300х300мм,                        8 нагрузка.</t>
  </si>
  <si>
    <t>Свая цельная сеч.300х300мм,                   9 нагрузка.</t>
  </si>
  <si>
    <t xml:space="preserve"> ПК 72-15-8 Ат Vт</t>
  </si>
  <si>
    <t>С.1.241-1 В.27</t>
  </si>
  <si>
    <t>7,18*1,49*0,22</t>
  </si>
  <si>
    <t xml:space="preserve"> ПК 72-12-8 Ат Vт</t>
  </si>
  <si>
    <t>7,18*1,19*0,22</t>
  </si>
  <si>
    <t xml:space="preserve"> ПК 68-15-8 АтVт</t>
  </si>
  <si>
    <t>с.1.041.1-2в.2</t>
  </si>
  <si>
    <t>6,85*1,49*0,22</t>
  </si>
  <si>
    <t xml:space="preserve"> ПК 68-12-8 Ат Vт</t>
  </si>
  <si>
    <t>6,85*1,19*0,22</t>
  </si>
  <si>
    <t xml:space="preserve"> ПК 66-15-8 АтVт</t>
  </si>
  <si>
    <t>6,58*1,49*0,22</t>
  </si>
  <si>
    <t xml:space="preserve"> ПК 66-12-8 Ат Vт</t>
  </si>
  <si>
    <t xml:space="preserve"> ПК 64-15-8 Ат Vт</t>
  </si>
  <si>
    <t>6,38*1,49*0,22</t>
  </si>
  <si>
    <t xml:space="preserve"> ПК 64-12-8 Ат Vт</t>
  </si>
  <si>
    <t>6,38*1,19*0,22</t>
  </si>
  <si>
    <t xml:space="preserve"> ПК 63-15-8 Ат IVт</t>
  </si>
  <si>
    <t>с.1.141-1 в 64</t>
  </si>
  <si>
    <t>6,26*1,49*0,22</t>
  </si>
  <si>
    <t xml:space="preserve"> ПК 63-12-8 Ат IVт</t>
  </si>
  <si>
    <t>6,260*1,19*0,22</t>
  </si>
  <si>
    <t xml:space="preserve"> ПК 60-15-8 Ат IVт</t>
  </si>
  <si>
    <t>С.1.141-1 В.64</t>
  </si>
  <si>
    <t>5,98*1,49*0,22</t>
  </si>
  <si>
    <t xml:space="preserve"> ПК 60-12-8 Ат IVт</t>
  </si>
  <si>
    <t>5,98*1,19*0,220</t>
  </si>
  <si>
    <t xml:space="preserve"> ПК 59-15-8 Ат IVт</t>
  </si>
  <si>
    <t>5,88*1,49*0,22</t>
  </si>
  <si>
    <t xml:space="preserve"> ПК 59-12-8 Ат IVт</t>
  </si>
  <si>
    <t>5,88*1,19*0,22</t>
  </si>
  <si>
    <t xml:space="preserve"> ПК 58-15-8 Ат IVт</t>
  </si>
  <si>
    <t>5,78*1,49*0,22</t>
  </si>
  <si>
    <t xml:space="preserve"> ПК 58-12-8 Ат IVт</t>
  </si>
  <si>
    <t>5,78*1,19*0,22</t>
  </si>
  <si>
    <t xml:space="preserve"> ПК 57-15-8 Ат IVт</t>
  </si>
  <si>
    <t>5,68*1,49*0,22</t>
  </si>
  <si>
    <t xml:space="preserve"> ПК 57-12-8 Ат IVт</t>
  </si>
  <si>
    <t>5,68*1,19*0,22</t>
  </si>
  <si>
    <t xml:space="preserve"> ПК 56-15-8 АтVт</t>
  </si>
  <si>
    <t>С.1.041-1 В.1</t>
  </si>
  <si>
    <t>5,65*1,49*0,22</t>
  </si>
  <si>
    <t xml:space="preserve"> ПК 56-12-8 Ат Vт</t>
  </si>
  <si>
    <t>5,65*1,19*0,22</t>
  </si>
  <si>
    <t xml:space="preserve"> ПК 54-15-8 Ат IVт</t>
  </si>
  <si>
    <t>5,38*1,49*0,22</t>
  </si>
  <si>
    <t xml:space="preserve"> ПК 54-12-8 Ат IVт</t>
  </si>
  <si>
    <t>5,38*1,19*0,22</t>
  </si>
  <si>
    <t xml:space="preserve"> ПК 53-15-8 Ат IVт</t>
  </si>
  <si>
    <t>5,28*1,49*0,22</t>
  </si>
  <si>
    <t xml:space="preserve"> ПК 53-12-8 Ат IVт</t>
  </si>
  <si>
    <t>5,28*1,19*0,22</t>
  </si>
  <si>
    <t>ПК 51-15-8 Ат Ivт</t>
  </si>
  <si>
    <t>5,08*1,49*0,22</t>
  </si>
  <si>
    <t xml:space="preserve"> ПК 51-12-8 Ат IVт</t>
  </si>
  <si>
    <t>5,08*1,19*0,22</t>
  </si>
  <si>
    <t xml:space="preserve"> ПК 48-15-8 </t>
  </si>
  <si>
    <t>4,78*1,49*0,22</t>
  </si>
  <si>
    <t xml:space="preserve"> ПК 48-12-8 </t>
  </si>
  <si>
    <t>4,78*1,19*0,22</t>
  </si>
  <si>
    <t xml:space="preserve"> ПК 45-15-8 </t>
  </si>
  <si>
    <t>С.1.141-1 В.60</t>
  </si>
  <si>
    <t>4,48*1,49*0,22</t>
  </si>
  <si>
    <t xml:space="preserve"> ПК 45-12-8 </t>
  </si>
  <si>
    <t>4,48*1,190,22</t>
  </si>
  <si>
    <t xml:space="preserve"> ПК 42-15-8  </t>
  </si>
  <si>
    <t>4,18*1,49*0,22</t>
  </si>
  <si>
    <t xml:space="preserve"> ПК 42-12-8 </t>
  </si>
  <si>
    <t>4,18*1,19*0,22</t>
  </si>
  <si>
    <t xml:space="preserve"> ПК 40-15-8 </t>
  </si>
  <si>
    <t>3,98*1,49*0,22</t>
  </si>
  <si>
    <t xml:space="preserve"> ПК 40-12-8 </t>
  </si>
  <si>
    <t>3,98*1,19*0,22</t>
  </si>
  <si>
    <t xml:space="preserve"> ПК 38-15-8 </t>
  </si>
  <si>
    <t>3,78*1,49*0,22</t>
  </si>
  <si>
    <t xml:space="preserve"> ПК 38-12-8 </t>
  </si>
  <si>
    <t>3,78*1,19*0,22</t>
  </si>
  <si>
    <t xml:space="preserve"> ПК 36-15-8 </t>
  </si>
  <si>
    <t>3,58*1,49*0,22</t>
  </si>
  <si>
    <t xml:space="preserve"> ПК 36-12-8 </t>
  </si>
  <si>
    <t>3,58*1,19*0,22</t>
  </si>
  <si>
    <t xml:space="preserve"> ПК 34-15-8 </t>
  </si>
  <si>
    <t>3,38*1,49*0,22</t>
  </si>
  <si>
    <t xml:space="preserve"> ПК 34-12-8 </t>
  </si>
  <si>
    <t>3,38*1,19*0,22</t>
  </si>
  <si>
    <t xml:space="preserve"> ПК 30-15-8 </t>
  </si>
  <si>
    <t>2,98*1,49*0,22</t>
  </si>
  <si>
    <t xml:space="preserve"> ПК 30-12-8 </t>
  </si>
  <si>
    <t>2,98*1,19*0,22</t>
  </si>
  <si>
    <t xml:space="preserve"> ПК 28-15-8 </t>
  </si>
  <si>
    <t>2,78*1,49*0,22</t>
  </si>
  <si>
    <t xml:space="preserve"> ПК 28-12-8 </t>
  </si>
  <si>
    <t>2,78*1,19*0,22</t>
  </si>
  <si>
    <t xml:space="preserve"> ПК 27-15-8 </t>
  </si>
  <si>
    <t>2,68*1,49*0,22</t>
  </si>
  <si>
    <t xml:space="preserve"> ПК 27-12-8 </t>
  </si>
  <si>
    <t>2,68*1,19*0,22</t>
  </si>
  <si>
    <t xml:space="preserve"> ПК 24-15-8 </t>
  </si>
  <si>
    <t>2,38*1,49*0,22</t>
  </si>
  <si>
    <t xml:space="preserve"> ПК 24-12-8 </t>
  </si>
  <si>
    <t>2,38*1,19*0,22</t>
  </si>
  <si>
    <t>1,0х1,0х0,12м,отв.0,76х0,4м</t>
  </si>
  <si>
    <t>1,3х1,3х0,12м,отв.1,0х0,4м</t>
  </si>
  <si>
    <t>2,5*1,75*0,22м,отв.0,94/0,58</t>
  </si>
  <si>
    <t>2,5*1,75*0,22м,отв0,94/0,58</t>
  </si>
  <si>
    <t>2,8*2,0*0,22  (отв.1,0м)</t>
  </si>
  <si>
    <t>d-0,7 в-0,07 h-0,89</t>
  </si>
  <si>
    <t>d-1,68 h-0,15, отв.0,7</t>
  </si>
  <si>
    <t>Бордюр БР150-30-18</t>
  </si>
  <si>
    <t xml:space="preserve"> С.1.011.-10 в.8, КЖ 1-77</t>
  </si>
  <si>
    <t>Арм. , d -12мм,        длина 4-12м</t>
  </si>
  <si>
    <t>Арм , d -14мм,        длина 4-12м</t>
  </si>
  <si>
    <t>Арм , d -16мм, дл 4-12  (С40х30-9 -  С120х30-9 ).</t>
  </si>
  <si>
    <t>Арм., d -14мм,дл 4-12м (С40х30-8 -  С120х30-8 ).</t>
  </si>
  <si>
    <t>Арм , d -12мм,дл 4-12м,  (С40х30-6 -  С120х30-6 ).</t>
  </si>
  <si>
    <t xml:space="preserve">Арм , d -10мм, дл 4-м,               </t>
  </si>
  <si>
    <t>Арм , d -18мм, дл 4-12м (С40х30-10 -  С120х30-10).</t>
  </si>
  <si>
    <t xml:space="preserve">  Изделия  сборные ж.бетонные водоотводных  сооружений  на  автомобильных дорогах </t>
  </si>
  <si>
    <t>Пл.  укреп. П-1 восьмигр</t>
  </si>
  <si>
    <t xml:space="preserve">                                    Сваи  составные сечением 300х300мм., звено нижнее и  верхнее.</t>
  </si>
  <si>
    <t xml:space="preserve"> ЛМ 28-11п</t>
  </si>
  <si>
    <t>с1.151-1в1,гост9818-0</t>
  </si>
  <si>
    <t>2,72*1,05*0,254</t>
  </si>
  <si>
    <t xml:space="preserve"> ЛПР 22-15</t>
  </si>
  <si>
    <t>с.1.152-3в.1</t>
  </si>
  <si>
    <t>2,48*1,6*0,32</t>
  </si>
  <si>
    <t xml:space="preserve"> 2 ЛП 25-12-4к</t>
  </si>
  <si>
    <t>с.1.152.1-8</t>
  </si>
  <si>
    <t>2,5*1,3*0,32/0,22</t>
  </si>
  <si>
    <t>Лестничные  марши  и лестничные  площадки.</t>
  </si>
  <si>
    <t xml:space="preserve">  ЛС 11-1</t>
  </si>
  <si>
    <t>1,05*0,145*0,33</t>
  </si>
  <si>
    <t xml:space="preserve">  Лс 12-1</t>
  </si>
  <si>
    <t>ГОСТ 8717.1-84</t>
  </si>
  <si>
    <t>1,2*0,145*0,33</t>
  </si>
  <si>
    <t xml:space="preserve">  Лс 14-1</t>
  </si>
  <si>
    <t>1,35*0,145*0,33</t>
  </si>
  <si>
    <t xml:space="preserve">  ЛС 15-1</t>
  </si>
  <si>
    <t>1,5*0,145*0,33</t>
  </si>
  <si>
    <t xml:space="preserve">  ЛСВ -11</t>
  </si>
  <si>
    <t>1,16*0,145*0,26</t>
  </si>
  <si>
    <t xml:space="preserve">  ЛСВ -12</t>
  </si>
  <si>
    <t>1,31*0,145*0,26</t>
  </si>
  <si>
    <t xml:space="preserve">  ЛСВ -14</t>
  </si>
  <si>
    <t>1,46*0,145*0,26</t>
  </si>
  <si>
    <t xml:space="preserve">  ЛСВ -15</t>
  </si>
  <si>
    <t>1,61*0,145*0,26</t>
  </si>
  <si>
    <t xml:space="preserve">  ЛСВ -17</t>
  </si>
  <si>
    <t>1,76*0,145*0,26</t>
  </si>
  <si>
    <t xml:space="preserve">  ЛСН -11</t>
  </si>
  <si>
    <t>1,05*0,125*0,29</t>
  </si>
  <si>
    <t xml:space="preserve">  ЛСН -12</t>
  </si>
  <si>
    <t>1,2*0,125*,29</t>
  </si>
  <si>
    <t xml:space="preserve">  ЛСН -14</t>
  </si>
  <si>
    <t>1,35*0,125*0,29</t>
  </si>
  <si>
    <t xml:space="preserve">  ЛСН -15</t>
  </si>
  <si>
    <t>1,5*0,125*0,29</t>
  </si>
  <si>
    <t xml:space="preserve">  ЛСН -17</t>
  </si>
  <si>
    <t>1,65*0,125*0,29</t>
  </si>
  <si>
    <t xml:space="preserve"> Ступени  накладные</t>
  </si>
  <si>
    <t xml:space="preserve"> 2 ПБ 13-1п</t>
  </si>
  <si>
    <t xml:space="preserve"> Гост 948-84  и</t>
  </si>
  <si>
    <t>1,29*0,12*0,14</t>
  </si>
  <si>
    <t xml:space="preserve"> 2 ПБ 16-2п</t>
  </si>
  <si>
    <t xml:space="preserve"> С,1,038,1-1в1</t>
  </si>
  <si>
    <t>1,55*0,12*0,14</t>
  </si>
  <si>
    <t xml:space="preserve"> 2 ПБ 17-2п</t>
  </si>
  <si>
    <t>1,68*0,12*0,14</t>
  </si>
  <si>
    <t xml:space="preserve"> 2 ПБ 19-3п</t>
  </si>
  <si>
    <t>1,94*0,12*0,14</t>
  </si>
  <si>
    <t xml:space="preserve"> 2 ПБ 22-3п</t>
  </si>
  <si>
    <t>2,2*0,12*0,14</t>
  </si>
  <si>
    <t>0.092</t>
  </si>
  <si>
    <t xml:space="preserve"> 2 ПБ 25-3п</t>
  </si>
  <si>
    <t>2,46*0,12*0,14</t>
  </si>
  <si>
    <t xml:space="preserve"> 2 ПБ 26-4п</t>
  </si>
  <si>
    <t>2,59*0,12*0,14</t>
  </si>
  <si>
    <t xml:space="preserve"> 2 ПБ 29-4п</t>
  </si>
  <si>
    <t>2,85*0,12*0,14</t>
  </si>
  <si>
    <t xml:space="preserve"> 2 ПБ 30--4п</t>
  </si>
  <si>
    <t>2,98*0,12*0,14</t>
  </si>
  <si>
    <t xml:space="preserve"> 3 ПБ 13-37п</t>
  </si>
  <si>
    <t>1,29*0,12*0,22</t>
  </si>
  <si>
    <t xml:space="preserve"> 3 ПБ 16-37п</t>
  </si>
  <si>
    <t>1,55*0,12*0,22</t>
  </si>
  <si>
    <t xml:space="preserve"> 3 ПБ 18-37п</t>
  </si>
  <si>
    <t>1,81*0,12*0,22</t>
  </si>
  <si>
    <t xml:space="preserve"> 3 ПБ 18-8п</t>
  </si>
  <si>
    <t xml:space="preserve"> 3 ПБ 21-8п</t>
  </si>
  <si>
    <t>2,07*0,12*0,22</t>
  </si>
  <si>
    <t xml:space="preserve"> 3 ПБ 25-8п</t>
  </si>
  <si>
    <t>2,46*0,12*0,22</t>
  </si>
  <si>
    <t xml:space="preserve"> 3 ПБ 27-8п</t>
  </si>
  <si>
    <t>2,72*0,12*0,22</t>
  </si>
  <si>
    <t xml:space="preserve"> 3 ПБ 30-8п</t>
  </si>
  <si>
    <t>2980*0,12*0,22</t>
  </si>
  <si>
    <t xml:space="preserve"> 3 ПБ 34-8п</t>
  </si>
  <si>
    <t>3370*120*220</t>
  </si>
  <si>
    <t xml:space="preserve"> 3 ПБ 36-4п</t>
  </si>
  <si>
    <t>3630*120*220</t>
  </si>
  <si>
    <t xml:space="preserve"> 3 ПБ 39-8п</t>
  </si>
  <si>
    <t>3890*120*220</t>
  </si>
  <si>
    <t xml:space="preserve"> 5 ПБ 18-27</t>
  </si>
  <si>
    <t>1,81*0,25*0,22</t>
  </si>
  <si>
    <t xml:space="preserve"> 5 ПБ 21-27</t>
  </si>
  <si>
    <t>2,07*0,25*0,22</t>
  </si>
  <si>
    <t xml:space="preserve"> 5 ПБ 25-27</t>
  </si>
  <si>
    <t>2,46*0,25*0,22</t>
  </si>
  <si>
    <t xml:space="preserve"> 5 ПБ 25-37</t>
  </si>
  <si>
    <t xml:space="preserve"> 5 ПБ 27-27</t>
  </si>
  <si>
    <t>2,72*0,25*0,22</t>
  </si>
  <si>
    <t xml:space="preserve"> 5 ПБ 27-37</t>
  </si>
  <si>
    <t xml:space="preserve"> 5 ПБ 30-27</t>
  </si>
  <si>
    <t>2,98*0,25*0,22</t>
  </si>
  <si>
    <t xml:space="preserve"> 5 ПБ 30-37</t>
  </si>
  <si>
    <t xml:space="preserve"> 5 ПБ 34-20</t>
  </si>
  <si>
    <t>3,37*0,25*0,22</t>
  </si>
  <si>
    <t xml:space="preserve"> 5 ПБ 36-20</t>
  </si>
  <si>
    <t>3,63*0,25*0,22</t>
  </si>
  <si>
    <t>2ПП 14-4</t>
  </si>
  <si>
    <t>1,42*0,38*0,14</t>
  </si>
  <si>
    <t>2 ПП 17-5</t>
  </si>
  <si>
    <t>1,68*0,38*0,14</t>
  </si>
  <si>
    <t>2 ПП 18-5</t>
  </si>
  <si>
    <t>1,81*0,38*0,14</t>
  </si>
  <si>
    <t>2 ПП 21-6</t>
  </si>
  <si>
    <t>2,07*0,38*0,14</t>
  </si>
  <si>
    <t>2 ПП 23-7</t>
  </si>
  <si>
    <t>2,33*0,38*0,14</t>
  </si>
  <si>
    <t>2 ПП 25-8</t>
  </si>
  <si>
    <t>2,46*0,38*0,14</t>
  </si>
  <si>
    <t>3 ПП 14-71</t>
  </si>
  <si>
    <t>1,42*0,38*0,22</t>
  </si>
  <si>
    <t>3 ПП 18-71</t>
  </si>
  <si>
    <t>1,81*0,38*0,22</t>
  </si>
  <si>
    <t>3 ПП 21-71</t>
  </si>
  <si>
    <t>2,07*0,38*0,22</t>
  </si>
  <si>
    <t>3 ПП 27-71</t>
  </si>
  <si>
    <t>2,72*0,38*0,22</t>
  </si>
  <si>
    <t xml:space="preserve"> Перемычки   с  ненапрягаемой  арматурой</t>
  </si>
  <si>
    <t>3 ПП 30-10</t>
  </si>
  <si>
    <t>2,98*0,38*0,22</t>
  </si>
  <si>
    <t>2 ПГ 48-31</t>
  </si>
  <si>
    <t>4,8*0,25*0,44/0,22</t>
  </si>
  <si>
    <t>ПРГ 60.2.5-4т АIII</t>
  </si>
  <si>
    <t>с.1.225-2 в.12</t>
  </si>
  <si>
    <t>5,98*0,2*0,5</t>
  </si>
  <si>
    <t>ПРГ 28.1.3-4т</t>
  </si>
  <si>
    <t>2,78*0,12*0,3</t>
  </si>
  <si>
    <t>ПРГ 36.1.4.4т</t>
  </si>
  <si>
    <t>3,58*0,12*0,4</t>
  </si>
  <si>
    <t>ПРГ 32.1.4-4т</t>
  </si>
  <si>
    <t>3,18*0,12*0,4</t>
  </si>
  <si>
    <t>с.1.465.1-20</t>
  </si>
  <si>
    <t>6,0*1,5*0,3</t>
  </si>
  <si>
    <t>с.1.461.1-1-20</t>
  </si>
  <si>
    <r>
      <t>4 ПГ 6-5 А111ВТ</t>
    </r>
    <r>
      <rPr>
        <sz val="6"/>
        <rFont val="Arial"/>
        <family val="2"/>
        <charset val="204"/>
      </rPr>
      <t>(_кг/м3)</t>
    </r>
  </si>
  <si>
    <r>
      <t>4 ПГ 6-6 А111ВТ</t>
    </r>
    <r>
      <rPr>
        <sz val="6"/>
        <rFont val="Arial"/>
        <family val="2"/>
        <charset val="204"/>
      </rPr>
      <t>(_кг/м3)</t>
    </r>
  </si>
  <si>
    <t>Прогоны  для  многоэтажных зданий</t>
  </si>
  <si>
    <t>Плиты покрытий ребристые</t>
  </si>
  <si>
    <t xml:space="preserve"> Плиты  пустотного  настила</t>
  </si>
  <si>
    <t xml:space="preserve"> ФБС 24-3-6т</t>
  </si>
  <si>
    <t>В 12,5</t>
  </si>
  <si>
    <t>2,38*0,3*0,58</t>
  </si>
  <si>
    <t xml:space="preserve"> ФБС 12-3-6т</t>
  </si>
  <si>
    <t xml:space="preserve"> ФБС  9-3-6т</t>
  </si>
  <si>
    <t xml:space="preserve"> Гост 13579-78</t>
  </si>
  <si>
    <t>0,9*0,3*0,58</t>
  </si>
  <si>
    <t xml:space="preserve"> ФБС  6-3-6т</t>
  </si>
  <si>
    <t>0,6*0,3*0,58</t>
  </si>
  <si>
    <t xml:space="preserve"> ФБС 24-4-6т</t>
  </si>
  <si>
    <t>2,38*0,4*0,58</t>
  </si>
  <si>
    <t xml:space="preserve"> ФБС 12-4-6т</t>
  </si>
  <si>
    <t xml:space="preserve"> ФБС   9-4-6т</t>
  </si>
  <si>
    <t>0,9*0,4*0,58</t>
  </si>
  <si>
    <t xml:space="preserve"> ФБС   6-4-6т</t>
  </si>
  <si>
    <t>0,6*0,4*0,58</t>
  </si>
  <si>
    <t xml:space="preserve"> ФБС 24-5-6т</t>
  </si>
  <si>
    <t>2,38*0,5*0,58</t>
  </si>
  <si>
    <t xml:space="preserve"> ФБС 12-5-6т</t>
  </si>
  <si>
    <t>1,19*0,5*0,58</t>
  </si>
  <si>
    <t xml:space="preserve"> ФБС  9-5-6т</t>
  </si>
  <si>
    <t>0,9*0,5*0,58</t>
  </si>
  <si>
    <t xml:space="preserve"> ФБС  6-5-6т</t>
  </si>
  <si>
    <t>0,6*0,5*0,58</t>
  </si>
  <si>
    <t xml:space="preserve"> ФБС 24-6-6т</t>
  </si>
  <si>
    <t>2,38*0,6*0,58</t>
  </si>
  <si>
    <t xml:space="preserve"> ФБС 12-6-6т</t>
  </si>
  <si>
    <t>1,19*0,6*0,58</t>
  </si>
  <si>
    <t xml:space="preserve"> ФБС  9-6-6т</t>
  </si>
  <si>
    <t>0,9*0,6*0,58</t>
  </si>
  <si>
    <t xml:space="preserve"> ФБС  6-6-6т</t>
  </si>
  <si>
    <t xml:space="preserve"> ФЛ 8.24-3</t>
  </si>
  <si>
    <t xml:space="preserve"> Гост 13580-85</t>
  </si>
  <si>
    <t>2,38*0,8*0,3</t>
  </si>
  <si>
    <t xml:space="preserve"> ФЛ 8.12-3</t>
  </si>
  <si>
    <t>1,18*0,8*0,3</t>
  </si>
  <si>
    <t xml:space="preserve"> ФЛ 10.24-3</t>
  </si>
  <si>
    <t>2,38*1,0*0,3</t>
  </si>
  <si>
    <t xml:space="preserve"> ФЛ10.12-3</t>
  </si>
  <si>
    <t>1,18*1,0*0,3</t>
  </si>
  <si>
    <t xml:space="preserve"> ФЛ10.8-3</t>
  </si>
  <si>
    <t>0,78*1,0*0,3</t>
  </si>
  <si>
    <t xml:space="preserve"> ФЛ 16-24-3</t>
  </si>
  <si>
    <t>2,38*1,6*0,3</t>
  </si>
  <si>
    <t>1,18*1,6*0,3</t>
  </si>
  <si>
    <t xml:space="preserve"> ФЛ 16-8-3</t>
  </si>
  <si>
    <t>0,78*1,6*0,3</t>
  </si>
  <si>
    <t xml:space="preserve"> ФЛ 16-8-1</t>
  </si>
  <si>
    <t>Блоки стен подвалов</t>
  </si>
  <si>
    <t>Блоки ленточных фундаментов</t>
  </si>
  <si>
    <t>Фунд бл ПФ 5-1</t>
  </si>
  <si>
    <t>с.3.400-3в.1</t>
  </si>
  <si>
    <t>3,7*1,45*1,0</t>
  </si>
  <si>
    <t>Под стен ПЛ 7-1</t>
  </si>
  <si>
    <t>4,2*2,95*0,24/0,02</t>
  </si>
  <si>
    <t xml:space="preserve"> цена  договорная</t>
  </si>
  <si>
    <t xml:space="preserve">                  Специальные  железобетонные   изделия  элементы  подпорных  стенок</t>
  </si>
  <si>
    <t xml:space="preserve">ГОСТ 8717.0-84    </t>
  </si>
  <si>
    <t>Генеральный директор АО "Бетон"</t>
  </si>
  <si>
    <t>Савельева В.М._________________________</t>
  </si>
  <si>
    <t xml:space="preserve">     ПРАЙС-ЛИСТ</t>
  </si>
  <si>
    <t>01.08.2017 г.</t>
  </si>
  <si>
    <t>"Утверждаю"</t>
  </si>
  <si>
    <t xml:space="preserve">Свая  НСВ 2    , ВСВ 2   </t>
  </si>
  <si>
    <t xml:space="preserve">Свая  НСВ 3    , ВСВ 3   </t>
  </si>
  <si>
    <t>ФЛ 16-12-3</t>
  </si>
  <si>
    <t>Dн.-0,84м.,Dвн.-0,58мм,     Н-0,07м.</t>
  </si>
  <si>
    <t>МШЛ 0,35тип1  (Л1х0,4х0,45с  перфор.)</t>
  </si>
  <si>
    <t>4,34х0,4х0,5</t>
  </si>
  <si>
    <t>Л-1 ( без дренаж.отвер).</t>
  </si>
  <si>
    <t>1,16х1,16х0,12м,                 отв.0,76х0,4м</t>
  </si>
  <si>
    <t>Красноярский кр. пгт.Березовка ул.Трактовая,5</t>
  </si>
  <si>
    <t>Восточно-Сибирский  ф-л ПАО "Росбанк" г.Красноярск</t>
  </si>
  <si>
    <t>р/сч 40702810275070000006</t>
  </si>
  <si>
    <t>ИНН / КПП 2404001204 / 240401001</t>
  </si>
  <si>
    <t>к/ сч 301018100000000388, БИК 040407388</t>
  </si>
  <si>
    <t>тел. 8(391)252-50-14, (39175)2-11-82</t>
  </si>
  <si>
    <t>www.betonoao.ru</t>
  </si>
  <si>
    <t>e-mail: betonberezka@mail.ru</t>
  </si>
  <si>
    <t>АКЦИОНЕРНОЕ ОБЩЕСТВО "БЕТОН"</t>
  </si>
  <si>
    <t>с3.006.1-2/87 в6</t>
  </si>
  <si>
    <t>Кольца колодцев, плиты днища, плиты перекрытий колодцев с.3.900.1-14в.1</t>
  </si>
  <si>
    <t xml:space="preserve"> Гост 8020-90</t>
  </si>
  <si>
    <t>d-0,7 в-0,07 h-0,29</t>
  </si>
  <si>
    <t>d-1,0 в-0,08 h-0,89</t>
  </si>
  <si>
    <t>d-1,0 в-0,08 h-0,59</t>
  </si>
  <si>
    <t>d-1,0 в-0,08 h-0,29</t>
  </si>
  <si>
    <t>d-1,5 в-0,09 h-0,89</t>
  </si>
  <si>
    <t>d-1,5 в-0,09 h-0,59</t>
  </si>
  <si>
    <t xml:space="preserve">Кольцо КЦО-1   </t>
  </si>
  <si>
    <t>Кольцо опорное КО-6</t>
  </si>
  <si>
    <t>ПО -4</t>
  </si>
  <si>
    <t>с.3.407.9-158</t>
  </si>
  <si>
    <t>с.3.50339-78</t>
  </si>
  <si>
    <t>1,0*0,4*0,5</t>
  </si>
  <si>
    <t>С.3.501.1-156 в.1</t>
  </si>
  <si>
    <t>С.1.011.-10 в.1</t>
  </si>
  <si>
    <t xml:space="preserve"> С.1.011.-10 в.1</t>
  </si>
  <si>
    <t xml:space="preserve"> С.1.038.1-1в1</t>
  </si>
  <si>
    <t>с.1.038.1-1 в.2</t>
  </si>
  <si>
    <t>с.1.038.1-1в.3</t>
  </si>
  <si>
    <r>
      <t>4 ПГ 6-4 111 АВТ(</t>
    </r>
    <r>
      <rPr>
        <sz val="6"/>
        <rFont val="Arial"/>
        <family val="2"/>
        <charset val="204"/>
      </rPr>
      <t>800кг/м3)</t>
    </r>
  </si>
  <si>
    <t>1,18*0,3*0,58</t>
  </si>
  <si>
    <t>1,18*0,4*0,58</t>
  </si>
  <si>
    <t xml:space="preserve">  Приставки   жлезобетонные  для  возушных   линий  эл, передач  напряжением до  35 кв.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</si>
</sst>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\ * #,##0.00[$р.-419]\ ;\-* #,##0.00[$р.-419]\ ;\ * \-#[$р.-419]\ ;@\ "/>
    <numFmt numFmtId="165" formatCode="0.0"/>
    <numFmt numFmtId="166" formatCode="\ * #,##0.00&quot;р. &quot;;\-* #,##0.00&quot;р. &quot;;\ * &quot;-р. &quot;;@\ "/>
    <numFmt numFmtId="167" formatCode="#\ ?/?"/>
    <numFmt numFmtId="168" formatCode="#,##0.00_ ;\-#,##0.00\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17"/>
      <name val="Calibri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scheme val="minor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7"/>
      <name val="Arial"/>
      <family val="2"/>
      <charset val="204"/>
    </font>
    <font>
      <sz val="11"/>
      <color indexed="20"/>
      <name val="Calibri"/>
      <family val="2"/>
      <charset val="204"/>
    </font>
    <font>
      <sz val="6.5"/>
      <name val="Arial"/>
      <family val="2"/>
      <charset val="204"/>
    </font>
    <font>
      <b/>
      <sz val="1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60"/>
      <name val="Calibri"/>
      <family val="2"/>
      <charset val="204"/>
    </font>
    <font>
      <i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i/>
      <sz val="8"/>
      <name val="Arial"/>
      <family val="2"/>
      <charset val="204"/>
    </font>
    <font>
      <sz val="11"/>
      <name val="Arial"/>
      <family val="2"/>
      <charset val="204"/>
    </font>
    <font>
      <b/>
      <i/>
      <u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7"/>
      <name val="Arial"/>
      <family val="2"/>
      <charset val="204"/>
    </font>
    <font>
      <sz val="9"/>
      <name val="Calibri"/>
      <family val="2"/>
      <charset val="204"/>
    </font>
    <font>
      <sz val="6"/>
      <name val="Arial"/>
      <family val="2"/>
      <charset val="204"/>
    </font>
    <font>
      <b/>
      <i/>
      <sz val="9"/>
      <name val="Arial"/>
      <family val="2"/>
      <charset val="204"/>
    </font>
    <font>
      <sz val="9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u/>
      <sz val="7"/>
      <name val="Arial"/>
      <family val="2"/>
      <charset val="204"/>
    </font>
    <font>
      <sz val="7"/>
      <name val="Calibri"/>
      <family val="2"/>
      <charset val="204"/>
    </font>
    <font>
      <b/>
      <sz val="48"/>
      <name val="Times New Roman"/>
      <family val="1"/>
      <charset val="204"/>
    </font>
    <font>
      <b/>
      <sz val="14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theme="0"/>
        <bgColor indexed="21"/>
      </patternFill>
    </fill>
    <fill>
      <patternFill patternType="solid">
        <fgColor theme="0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51"/>
        <bgColor indexed="13"/>
      </patternFill>
    </fill>
    <fill>
      <patternFill patternType="solid">
        <fgColor theme="0"/>
        <bgColor indexed="29"/>
      </patternFill>
    </fill>
    <fill>
      <patternFill patternType="solid">
        <fgColor theme="0"/>
        <bgColor indexed="13"/>
      </patternFill>
    </fill>
    <fill>
      <patternFill patternType="solid">
        <fgColor indexed="49"/>
        <bgColor indexed="40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4"/>
      </patternFill>
    </fill>
  </fills>
  <borders count="8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6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21" fillId="22" borderId="0" applyNumberFormat="0" applyBorder="0" applyAlignment="0" applyProtection="0"/>
    <xf numFmtId="0" fontId="38" fillId="0" borderId="0" applyNumberFormat="0" applyFill="0" applyBorder="0" applyAlignment="0" applyProtection="0"/>
  </cellStyleXfs>
  <cellXfs count="667">
    <xf numFmtId="0" fontId="0" fillId="0" borderId="0" xfId="0"/>
    <xf numFmtId="0" fontId="6" fillId="3" borderId="11" xfId="3" applyNumberFormat="1" applyFont="1" applyFill="1" applyBorder="1" applyAlignment="1" applyProtection="1">
      <alignment horizontal="left"/>
    </xf>
    <xf numFmtId="0" fontId="3" fillId="3" borderId="11" xfId="3" applyNumberFormat="1" applyFont="1" applyFill="1" applyBorder="1" applyAlignment="1" applyProtection="1">
      <alignment horizontal="center"/>
    </xf>
    <xf numFmtId="0" fontId="6" fillId="3" borderId="11" xfId="3" applyNumberFormat="1" applyFont="1" applyFill="1" applyBorder="1" applyAlignment="1" applyProtection="1">
      <alignment horizontal="center" vertical="center"/>
    </xf>
    <xf numFmtId="0" fontId="3" fillId="6" borderId="11" xfId="3" applyNumberFormat="1" applyFont="1" applyFill="1" applyBorder="1" applyAlignment="1" applyProtection="1">
      <alignment horizontal="center"/>
    </xf>
    <xf numFmtId="0" fontId="6" fillId="6" borderId="11" xfId="3" applyNumberFormat="1" applyFont="1" applyFill="1" applyBorder="1" applyAlignment="1" applyProtection="1">
      <alignment horizontal="center" vertical="center"/>
    </xf>
    <xf numFmtId="0" fontId="6" fillId="4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6" fillId="9" borderId="11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center"/>
    </xf>
    <xf numFmtId="0" fontId="6" fillId="9" borderId="11" xfId="0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4" xfId="0" applyFont="1" applyFill="1" applyBorder="1"/>
    <xf numFmtId="0" fontId="3" fillId="4" borderId="7" xfId="0" applyFont="1" applyFill="1" applyBorder="1" applyAlignment="1">
      <alignment horizontal="center" vertical="center" wrapText="1"/>
    </xf>
    <xf numFmtId="0" fontId="3" fillId="4" borderId="10" xfId="0" applyFont="1" applyFill="1" applyBorder="1"/>
    <xf numFmtId="0" fontId="6" fillId="4" borderId="10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3" applyNumberFormat="1" applyFont="1" applyFill="1" applyBorder="1" applyAlignment="1" applyProtection="1">
      <alignment horizontal="left"/>
    </xf>
    <xf numFmtId="0" fontId="6" fillId="4" borderId="11" xfId="3" applyNumberFormat="1" applyFont="1" applyFill="1" applyBorder="1" applyAlignment="1" applyProtection="1">
      <alignment horizontal="center"/>
    </xf>
    <xf numFmtId="0" fontId="6" fillId="4" borderId="11" xfId="3" applyNumberFormat="1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left"/>
    </xf>
    <xf numFmtId="0" fontId="6" fillId="4" borderId="15" xfId="0" applyFont="1" applyFill="1" applyBorder="1" applyAlignment="1">
      <alignment horizontal="center"/>
    </xf>
    <xf numFmtId="0" fontId="6" fillId="4" borderId="11" xfId="0" applyFont="1" applyFill="1" applyBorder="1"/>
    <xf numFmtId="0" fontId="6" fillId="4" borderId="11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/>
    </xf>
    <xf numFmtId="0" fontId="6" fillId="4" borderId="14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left"/>
    </xf>
    <xf numFmtId="0" fontId="6" fillId="10" borderId="11" xfId="0" applyFont="1" applyFill="1" applyBorder="1" applyAlignment="1">
      <alignment horizontal="center"/>
    </xf>
    <xf numFmtId="0" fontId="6" fillId="10" borderId="11" xfId="0" applyFont="1" applyFill="1" applyBorder="1" applyAlignment="1">
      <alignment horizontal="center" vertical="center"/>
    </xf>
    <xf numFmtId="164" fontId="3" fillId="5" borderId="10" xfId="1" applyNumberFormat="1" applyFont="1" applyFill="1" applyBorder="1" applyAlignment="1" applyProtection="1">
      <alignment horizontal="center"/>
    </xf>
    <xf numFmtId="0" fontId="11" fillId="4" borderId="0" xfId="0" applyFont="1" applyFill="1"/>
    <xf numFmtId="0" fontId="3" fillId="4" borderId="17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14" fillId="0" borderId="0" xfId="0" applyFont="1"/>
    <xf numFmtId="0" fontId="3" fillId="4" borderId="22" xfId="0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25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3" borderId="10" xfId="3" applyNumberFormat="1" applyFont="1" applyFill="1" applyBorder="1" applyAlignment="1" applyProtection="1">
      <alignment horizontal="center"/>
    </xf>
    <xf numFmtId="0" fontId="13" fillId="4" borderId="16" xfId="0" applyFont="1" applyFill="1" applyBorder="1"/>
    <xf numFmtId="0" fontId="3" fillId="3" borderId="31" xfId="3" applyNumberFormat="1" applyFont="1" applyFill="1" applyBorder="1" applyAlignment="1" applyProtection="1"/>
    <xf numFmtId="0" fontId="6" fillId="3" borderId="32" xfId="3" applyNumberFormat="1" applyFont="1" applyFill="1" applyBorder="1" applyAlignment="1" applyProtection="1">
      <alignment horizontal="left"/>
    </xf>
    <xf numFmtId="0" fontId="3" fillId="3" borderId="32" xfId="3" applyNumberFormat="1" applyFont="1" applyFill="1" applyBorder="1" applyAlignment="1" applyProtection="1">
      <alignment horizontal="center"/>
    </xf>
    <xf numFmtId="0" fontId="6" fillId="3" borderId="32" xfId="3" applyNumberFormat="1" applyFont="1" applyFill="1" applyBorder="1" applyAlignment="1" applyProtection="1">
      <alignment horizontal="center" vertical="center"/>
    </xf>
    <xf numFmtId="0" fontId="6" fillId="4" borderId="32" xfId="0" applyFont="1" applyFill="1" applyBorder="1" applyAlignment="1">
      <alignment horizontal="center"/>
    </xf>
    <xf numFmtId="0" fontId="3" fillId="3" borderId="34" xfId="3" applyNumberFormat="1" applyFont="1" applyFill="1" applyBorder="1" applyAlignment="1" applyProtection="1"/>
    <xf numFmtId="0" fontId="3" fillId="4" borderId="34" xfId="0" applyFont="1" applyFill="1" applyBorder="1"/>
    <xf numFmtId="0" fontId="3" fillId="4" borderId="36" xfId="0" applyFont="1" applyFill="1" applyBorder="1"/>
    <xf numFmtId="0" fontId="3" fillId="4" borderId="34" xfId="3" applyNumberFormat="1" applyFont="1" applyFill="1" applyBorder="1" applyAlignment="1" applyProtection="1"/>
    <xf numFmtId="0" fontId="3" fillId="4" borderId="37" xfId="0" applyFont="1" applyFill="1" applyBorder="1"/>
    <xf numFmtId="0" fontId="6" fillId="4" borderId="38" xfId="0" applyFont="1" applyFill="1" applyBorder="1" applyAlignment="1">
      <alignment horizontal="left"/>
    </xf>
    <xf numFmtId="0" fontId="6" fillId="4" borderId="38" xfId="0" applyFont="1" applyFill="1" applyBorder="1" applyAlignment="1">
      <alignment horizontal="center" vertical="center"/>
    </xf>
    <xf numFmtId="0" fontId="6" fillId="4" borderId="38" xfId="0" applyFont="1" applyFill="1" applyBorder="1" applyAlignment="1">
      <alignment horizontal="center"/>
    </xf>
    <xf numFmtId="164" fontId="3" fillId="5" borderId="38" xfId="1" applyNumberFormat="1" applyFont="1" applyFill="1" applyBorder="1" applyAlignment="1" applyProtection="1">
      <alignment horizontal="center"/>
    </xf>
    <xf numFmtId="0" fontId="3" fillId="4" borderId="40" xfId="0" applyFont="1" applyFill="1" applyBorder="1"/>
    <xf numFmtId="0" fontId="6" fillId="4" borderId="13" xfId="3" applyNumberFormat="1" applyFont="1" applyFill="1" applyBorder="1" applyAlignment="1" applyProtection="1">
      <alignment horizontal="center"/>
    </xf>
    <xf numFmtId="0" fontId="6" fillId="4" borderId="10" xfId="0" applyFont="1" applyFill="1" applyBorder="1"/>
    <xf numFmtId="0" fontId="3" fillId="4" borderId="20" xfId="0" applyFont="1" applyFill="1" applyBorder="1"/>
    <xf numFmtId="0" fontId="6" fillId="4" borderId="27" xfId="0" applyFont="1" applyFill="1" applyBorder="1" applyAlignment="1">
      <alignment horizontal="center"/>
    </xf>
    <xf numFmtId="0" fontId="2" fillId="4" borderId="20" xfId="0" applyFont="1" applyFill="1" applyBorder="1"/>
    <xf numFmtId="0" fontId="15" fillId="4" borderId="27" xfId="0" applyFont="1" applyFill="1" applyBorder="1" applyAlignment="1">
      <alignment horizontal="left"/>
    </xf>
    <xf numFmtId="0" fontId="15" fillId="4" borderId="27" xfId="3" applyNumberFormat="1" applyFont="1" applyFill="1" applyBorder="1" applyAlignment="1" applyProtection="1">
      <alignment horizontal="center"/>
    </xf>
    <xf numFmtId="0" fontId="15" fillId="4" borderId="27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/>
    </xf>
    <xf numFmtId="164" fontId="2" fillId="5" borderId="27" xfId="1" applyNumberFormat="1" applyFont="1" applyFill="1" applyBorder="1" applyAlignment="1" applyProtection="1">
      <alignment horizontal="center"/>
    </xf>
    <xf numFmtId="0" fontId="3" fillId="4" borderId="42" xfId="0" applyFont="1" applyFill="1" applyBorder="1"/>
    <xf numFmtId="0" fontId="6" fillId="4" borderId="43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6" fillId="4" borderId="32" xfId="0" applyFont="1" applyFill="1" applyBorder="1"/>
    <xf numFmtId="0" fontId="6" fillId="4" borderId="32" xfId="0" applyFont="1" applyFill="1" applyBorder="1" applyAlignment="1">
      <alignment horizontal="left" vertical="center"/>
    </xf>
    <xf numFmtId="0" fontId="3" fillId="4" borderId="45" xfId="0" applyFont="1" applyFill="1" applyBorder="1"/>
    <xf numFmtId="0" fontId="3" fillId="4" borderId="47" xfId="0" applyFont="1" applyFill="1" applyBorder="1"/>
    <xf numFmtId="0" fontId="6" fillId="4" borderId="48" xfId="0" applyFont="1" applyFill="1" applyBorder="1" applyAlignment="1">
      <alignment horizontal="left"/>
    </xf>
    <xf numFmtId="0" fontId="6" fillId="4" borderId="48" xfId="0" applyFont="1" applyFill="1" applyBorder="1" applyAlignment="1">
      <alignment horizontal="center"/>
    </xf>
    <xf numFmtId="0" fontId="6" fillId="4" borderId="48" xfId="0" applyFont="1" applyFill="1" applyBorder="1" applyAlignment="1">
      <alignment horizontal="center" vertical="center"/>
    </xf>
    <xf numFmtId="0" fontId="3" fillId="4" borderId="31" xfId="0" applyFont="1" applyFill="1" applyBorder="1"/>
    <xf numFmtId="0" fontId="6" fillId="4" borderId="32" xfId="0" applyFont="1" applyFill="1" applyBorder="1" applyAlignment="1">
      <alignment horizontal="left"/>
    </xf>
    <xf numFmtId="0" fontId="6" fillId="4" borderId="32" xfId="0" applyFont="1" applyFill="1" applyBorder="1" applyAlignment="1">
      <alignment horizontal="center" vertical="center"/>
    </xf>
    <xf numFmtId="0" fontId="3" fillId="9" borderId="34" xfId="0" applyFont="1" applyFill="1" applyBorder="1"/>
    <xf numFmtId="0" fontId="3" fillId="10" borderId="34" xfId="0" applyFont="1" applyFill="1" applyBorder="1"/>
    <xf numFmtId="0" fontId="4" fillId="0" borderId="16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center"/>
    </xf>
    <xf numFmtId="0" fontId="3" fillId="17" borderId="11" xfId="7" applyNumberFormat="1" applyFont="1" applyFill="1" applyBorder="1" applyAlignment="1" applyProtection="1">
      <alignment horizontal="center" vertical="center"/>
    </xf>
    <xf numFmtId="0" fontId="3" fillId="4" borderId="32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 vertical="center"/>
    </xf>
    <xf numFmtId="0" fontId="3" fillId="17" borderId="38" xfId="7" applyNumberFormat="1" applyFont="1" applyFill="1" applyBorder="1" applyAlignment="1" applyProtection="1">
      <alignment horizontal="center" vertical="center"/>
    </xf>
    <xf numFmtId="0" fontId="3" fillId="4" borderId="38" xfId="0" applyFont="1" applyFill="1" applyBorder="1" applyAlignment="1">
      <alignment horizontal="center"/>
    </xf>
    <xf numFmtId="2" fontId="4" fillId="5" borderId="28" xfId="2" applyNumberFormat="1" applyFont="1" applyFill="1" applyBorder="1" applyAlignment="1" applyProtection="1">
      <alignment horizontal="center"/>
    </xf>
    <xf numFmtId="2" fontId="7" fillId="9" borderId="33" xfId="5" applyNumberFormat="1" applyFont="1" applyFill="1" applyBorder="1" applyAlignment="1" applyProtection="1">
      <alignment horizontal="center"/>
    </xf>
    <xf numFmtId="2" fontId="7" fillId="9" borderId="35" xfId="5" applyNumberFormat="1" applyFont="1" applyFill="1" applyBorder="1" applyAlignment="1" applyProtection="1">
      <alignment horizontal="center"/>
    </xf>
    <xf numFmtId="2" fontId="7" fillId="9" borderId="46" xfId="5" applyNumberFormat="1" applyFont="1" applyFill="1" applyBorder="1" applyAlignment="1" applyProtection="1">
      <alignment horizontal="center"/>
    </xf>
    <xf numFmtId="2" fontId="7" fillId="9" borderId="10" xfId="5" applyNumberFormat="1" applyFont="1" applyFill="1" applyBorder="1" applyAlignment="1" applyProtection="1">
      <alignment horizontal="center"/>
    </xf>
    <xf numFmtId="2" fontId="7" fillId="4" borderId="0" xfId="0" applyNumberFormat="1" applyFont="1" applyFill="1" applyAlignment="1">
      <alignment horizontal="center"/>
    </xf>
    <xf numFmtId="2" fontId="7" fillId="4" borderId="17" xfId="0" applyNumberFormat="1" applyFont="1" applyFill="1" applyBorder="1" applyAlignment="1">
      <alignment horizontal="center" vertical="center" wrapText="1"/>
    </xf>
    <xf numFmtId="2" fontId="7" fillId="4" borderId="18" xfId="0" applyNumberFormat="1" applyFont="1" applyFill="1" applyBorder="1" applyAlignment="1">
      <alignment horizontal="center" vertical="center" wrapText="1"/>
    </xf>
    <xf numFmtId="2" fontId="7" fillId="4" borderId="19" xfId="0" applyNumberFormat="1" applyFont="1" applyFill="1" applyBorder="1" applyAlignment="1">
      <alignment horizontal="center" vertical="center"/>
    </xf>
    <xf numFmtId="2" fontId="4" fillId="4" borderId="30" xfId="0" applyNumberFormat="1" applyFont="1" applyFill="1" applyBorder="1" applyAlignment="1">
      <alignment horizontal="center"/>
    </xf>
    <xf numFmtId="2" fontId="7" fillId="5" borderId="33" xfId="2" applyNumberFormat="1" applyFont="1" applyFill="1" applyBorder="1" applyAlignment="1" applyProtection="1">
      <alignment horizontal="center"/>
    </xf>
    <xf numFmtId="2" fontId="7" fillId="5" borderId="35" xfId="2" applyNumberFormat="1" applyFont="1" applyFill="1" applyBorder="1" applyAlignment="1" applyProtection="1">
      <alignment horizontal="center"/>
    </xf>
    <xf numFmtId="2" fontId="7" fillId="5" borderId="41" xfId="2" applyNumberFormat="1" applyFont="1" applyFill="1" applyBorder="1" applyAlignment="1" applyProtection="1">
      <alignment horizontal="center"/>
    </xf>
    <xf numFmtId="2" fontId="7" fillId="4" borderId="33" xfId="0" applyNumberFormat="1" applyFont="1" applyFill="1" applyBorder="1" applyAlignment="1">
      <alignment horizontal="center"/>
    </xf>
    <xf numFmtId="2" fontId="7" fillId="4" borderId="35" xfId="0" applyNumberFormat="1" applyFont="1" applyFill="1" applyBorder="1" applyAlignment="1">
      <alignment horizontal="center"/>
    </xf>
    <xf numFmtId="2" fontId="7" fillId="9" borderId="35" xfId="0" applyNumberFormat="1" applyFont="1" applyFill="1" applyBorder="1" applyAlignment="1">
      <alignment horizontal="center"/>
    </xf>
    <xf numFmtId="2" fontId="7" fillId="6" borderId="35" xfId="0" applyNumberFormat="1" applyFont="1" applyFill="1" applyBorder="1" applyAlignment="1">
      <alignment horizontal="center"/>
    </xf>
    <xf numFmtId="2" fontId="7" fillId="10" borderId="35" xfId="0" applyNumberFormat="1" applyFont="1" applyFill="1" applyBorder="1" applyAlignment="1">
      <alignment horizontal="center"/>
    </xf>
    <xf numFmtId="2" fontId="7" fillId="4" borderId="41" xfId="0" applyNumberFormat="1" applyFont="1" applyFill="1" applyBorder="1" applyAlignment="1">
      <alignment horizontal="center"/>
    </xf>
    <xf numFmtId="2" fontId="7" fillId="4" borderId="39" xfId="0" applyNumberFormat="1" applyFont="1" applyFill="1" applyBorder="1" applyAlignment="1">
      <alignment horizontal="center"/>
    </xf>
    <xf numFmtId="2" fontId="7" fillId="9" borderId="11" xfId="5" applyNumberFormat="1" applyFont="1" applyFill="1" applyBorder="1" applyAlignment="1" applyProtection="1">
      <alignment horizontal="center"/>
    </xf>
    <xf numFmtId="1" fontId="7" fillId="4" borderId="6" xfId="0" applyNumberFormat="1" applyFont="1" applyFill="1" applyBorder="1" applyAlignment="1">
      <alignment horizontal="center"/>
    </xf>
    <xf numFmtId="2" fontId="4" fillId="4" borderId="29" xfId="0" applyNumberFormat="1" applyFont="1" applyFill="1" applyBorder="1" applyAlignment="1">
      <alignment horizontal="center" vertical="center"/>
    </xf>
    <xf numFmtId="2" fontId="12" fillId="5" borderId="11" xfId="1" applyNumberFormat="1" applyFont="1" applyFill="1" applyBorder="1" applyAlignment="1" applyProtection="1">
      <alignment horizontal="center"/>
    </xf>
    <xf numFmtId="2" fontId="12" fillId="6" borderId="11" xfId="1" applyNumberFormat="1" applyFont="1" applyFill="1" applyBorder="1" applyAlignment="1" applyProtection="1">
      <alignment horizontal="center"/>
    </xf>
    <xf numFmtId="2" fontId="12" fillId="5" borderId="10" xfId="1" applyNumberFormat="1" applyFont="1" applyFill="1" applyBorder="1" applyAlignment="1" applyProtection="1">
      <alignment horizontal="center"/>
    </xf>
    <xf numFmtId="2" fontId="12" fillId="5" borderId="13" xfId="1" applyNumberFormat="1" applyFont="1" applyFill="1" applyBorder="1" applyAlignment="1" applyProtection="1">
      <alignment horizontal="center"/>
    </xf>
    <xf numFmtId="2" fontId="12" fillId="12" borderId="11" xfId="1" applyNumberFormat="1" applyFont="1" applyFill="1" applyBorder="1" applyAlignment="1" applyProtection="1">
      <alignment horizontal="center"/>
    </xf>
    <xf numFmtId="2" fontId="12" fillId="10" borderId="11" xfId="1" applyNumberFormat="1" applyFont="1" applyFill="1" applyBorder="1" applyAlignment="1" applyProtection="1">
      <alignment horizontal="center"/>
    </xf>
    <xf numFmtId="2" fontId="12" fillId="10" borderId="13" xfId="1" applyNumberFormat="1" applyFont="1" applyFill="1" applyBorder="1" applyAlignment="1" applyProtection="1">
      <alignment horizontal="center"/>
    </xf>
    <xf numFmtId="2" fontId="12" fillId="10" borderId="32" xfId="1" applyNumberFormat="1" applyFont="1" applyFill="1" applyBorder="1" applyAlignment="1" applyProtection="1">
      <alignment horizontal="center"/>
    </xf>
    <xf numFmtId="2" fontId="7" fillId="4" borderId="0" xfId="0" applyNumberFormat="1" applyFont="1" applyFill="1"/>
    <xf numFmtId="2" fontId="7" fillId="4" borderId="20" xfId="0" applyNumberFormat="1" applyFont="1" applyFill="1" applyBorder="1" applyAlignment="1">
      <alignment horizontal="center" vertical="center" wrapText="1"/>
    </xf>
    <xf numFmtId="2" fontId="7" fillId="4" borderId="21" xfId="0" applyNumberFormat="1" applyFont="1" applyFill="1" applyBorder="1" applyAlignment="1">
      <alignment horizontal="center" vertical="center" wrapText="1"/>
    </xf>
    <xf numFmtId="2" fontId="7" fillId="4" borderId="16" xfId="0" applyNumberFormat="1" applyFont="1" applyFill="1" applyBorder="1" applyAlignment="1">
      <alignment horizontal="center" vertical="center" wrapText="1"/>
    </xf>
    <xf numFmtId="2" fontId="7" fillId="5" borderId="32" xfId="1" applyNumberFormat="1" applyFont="1" applyFill="1" applyBorder="1" applyAlignment="1" applyProtection="1">
      <alignment horizontal="center"/>
    </xf>
    <xf numFmtId="2" fontId="7" fillId="5" borderId="11" xfId="1" applyNumberFormat="1" applyFont="1" applyFill="1" applyBorder="1" applyAlignment="1" applyProtection="1">
      <alignment horizontal="center"/>
    </xf>
    <xf numFmtId="2" fontId="7" fillId="6" borderId="11" xfId="1" applyNumberFormat="1" applyFont="1" applyFill="1" applyBorder="1" applyAlignment="1" applyProtection="1">
      <alignment horizontal="center"/>
    </xf>
    <xf numFmtId="2" fontId="7" fillId="4" borderId="11" xfId="0" applyNumberFormat="1" applyFont="1" applyFill="1" applyBorder="1" applyAlignment="1">
      <alignment horizontal="center" vertical="center"/>
    </xf>
    <xf numFmtId="2" fontId="7" fillId="7" borderId="11" xfId="1" applyNumberFormat="1" applyFont="1" applyFill="1" applyBorder="1" applyAlignment="1" applyProtection="1">
      <alignment horizontal="center"/>
    </xf>
    <xf numFmtId="2" fontId="7" fillId="5" borderId="10" xfId="1" applyNumberFormat="1" applyFont="1" applyFill="1" applyBorder="1" applyAlignment="1" applyProtection="1">
      <alignment horizontal="center"/>
    </xf>
    <xf numFmtId="2" fontId="7" fillId="5" borderId="11" xfId="4" applyNumberFormat="1" applyFont="1" applyFill="1" applyBorder="1" applyAlignment="1" applyProtection="1">
      <alignment horizontal="center"/>
    </xf>
    <xf numFmtId="2" fontId="7" fillId="5" borderId="13" xfId="1" applyNumberFormat="1" applyFont="1" applyFill="1" applyBorder="1" applyAlignment="1" applyProtection="1">
      <alignment horizontal="center"/>
    </xf>
    <xf numFmtId="2" fontId="4" fillId="5" borderId="27" xfId="1" applyNumberFormat="1" applyFont="1" applyFill="1" applyBorder="1" applyAlignment="1" applyProtection="1">
      <alignment horizontal="center"/>
    </xf>
    <xf numFmtId="2" fontId="7" fillId="9" borderId="32" xfId="5" applyNumberFormat="1" applyFont="1" applyFill="1" applyBorder="1" applyAlignment="1" applyProtection="1">
      <alignment horizontal="center"/>
    </xf>
    <xf numFmtId="2" fontId="7" fillId="6" borderId="32" xfId="1" applyNumberFormat="1" applyFont="1" applyFill="1" applyBorder="1" applyAlignment="1" applyProtection="1">
      <alignment horizontal="center"/>
    </xf>
    <xf numFmtId="2" fontId="7" fillId="9" borderId="11" xfId="1" applyNumberFormat="1" applyFont="1" applyFill="1" applyBorder="1" applyAlignment="1" applyProtection="1">
      <alignment horizontal="center"/>
    </xf>
    <xf numFmtId="2" fontId="7" fillId="12" borderId="11" xfId="1" applyNumberFormat="1" applyFont="1" applyFill="1" applyBorder="1" applyAlignment="1" applyProtection="1">
      <alignment horizontal="center"/>
    </xf>
    <xf numFmtId="2" fontId="7" fillId="10" borderId="11" xfId="1" applyNumberFormat="1" applyFont="1" applyFill="1" applyBorder="1" applyAlignment="1" applyProtection="1">
      <alignment horizontal="center"/>
    </xf>
    <xf numFmtId="2" fontId="7" fillId="13" borderId="11" xfId="1" applyNumberFormat="1" applyFont="1" applyFill="1" applyBorder="1" applyAlignment="1" applyProtection="1">
      <alignment horizontal="center"/>
    </xf>
    <xf numFmtId="2" fontId="7" fillId="14" borderId="11" xfId="6" applyNumberFormat="1" applyFont="1" applyFill="1" applyBorder="1" applyAlignment="1" applyProtection="1">
      <alignment horizontal="center"/>
    </xf>
    <xf numFmtId="2" fontId="7" fillId="10" borderId="13" xfId="1" applyNumberFormat="1" applyFont="1" applyFill="1" applyBorder="1" applyAlignment="1" applyProtection="1">
      <alignment horizontal="center"/>
    </xf>
    <xf numFmtId="2" fontId="7" fillId="10" borderId="32" xfId="1" applyNumberFormat="1" applyFont="1" applyFill="1" applyBorder="1" applyAlignment="1" applyProtection="1">
      <alignment horizontal="center"/>
    </xf>
    <xf numFmtId="2" fontId="7" fillId="18" borderId="11" xfId="8" applyNumberFormat="1" applyFont="1" applyFill="1" applyBorder="1" applyAlignment="1" applyProtection="1">
      <alignment horizontal="center"/>
    </xf>
    <xf numFmtId="2" fontId="7" fillId="18" borderId="38" xfId="8" applyNumberFormat="1" applyFont="1" applyFill="1" applyBorder="1" applyAlignment="1" applyProtection="1">
      <alignment horizontal="center"/>
    </xf>
    <xf numFmtId="0" fontId="7" fillId="4" borderId="26" xfId="0" applyNumberFormat="1" applyFont="1" applyFill="1" applyBorder="1" applyAlignment="1">
      <alignment horizontal="center" vertical="center"/>
    </xf>
    <xf numFmtId="2" fontId="7" fillId="10" borderId="27" xfId="1" applyNumberFormat="1" applyFont="1" applyFill="1" applyBorder="1" applyAlignment="1" applyProtection="1">
      <alignment horizontal="center"/>
    </xf>
    <xf numFmtId="2" fontId="7" fillId="4" borderId="28" xfId="0" applyNumberFormat="1" applyFont="1" applyFill="1" applyBorder="1" applyAlignment="1">
      <alignment horizontal="center"/>
    </xf>
    <xf numFmtId="2" fontId="7" fillId="10" borderId="14" xfId="1" applyNumberFormat="1" applyFont="1" applyFill="1" applyBorder="1" applyAlignment="1" applyProtection="1">
      <alignment horizontal="center"/>
    </xf>
    <xf numFmtId="0" fontId="6" fillId="17" borderId="14" xfId="7" applyNumberFormat="1" applyFont="1" applyFill="1" applyBorder="1" applyAlignment="1" applyProtection="1">
      <alignment horizontal="center" vertical="center"/>
    </xf>
    <xf numFmtId="2" fontId="7" fillId="18" borderId="14" xfId="8" applyNumberFormat="1" applyFont="1" applyFill="1" applyBorder="1" applyAlignment="1" applyProtection="1">
      <alignment horizontal="center"/>
    </xf>
    <xf numFmtId="2" fontId="7" fillId="9" borderId="14" xfId="5" applyNumberFormat="1" applyFont="1" applyFill="1" applyBorder="1" applyAlignment="1" applyProtection="1">
      <alignment horizontal="center"/>
    </xf>
    <xf numFmtId="0" fontId="6" fillId="4" borderId="43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/>
    </xf>
    <xf numFmtId="2" fontId="7" fillId="10" borderId="43" xfId="1" applyNumberFormat="1" applyFont="1" applyFill="1" applyBorder="1" applyAlignment="1" applyProtection="1">
      <alignment horizontal="center"/>
    </xf>
    <xf numFmtId="2" fontId="7" fillId="4" borderId="57" xfId="0" applyNumberFormat="1" applyFont="1" applyFill="1" applyBorder="1" applyAlignment="1">
      <alignment horizontal="center"/>
    </xf>
    <xf numFmtId="2" fontId="7" fillId="4" borderId="46" xfId="0" applyNumberFormat="1" applyFont="1" applyFill="1" applyBorder="1" applyAlignment="1">
      <alignment horizontal="center"/>
    </xf>
    <xf numFmtId="0" fontId="3" fillId="6" borderId="45" xfId="0" applyFont="1" applyFill="1" applyBorder="1"/>
    <xf numFmtId="0" fontId="8" fillId="17" borderId="45" xfId="7" applyNumberFormat="1" applyFont="1" applyFill="1" applyBorder="1" applyAlignment="1" applyProtection="1"/>
    <xf numFmtId="2" fontId="7" fillId="10" borderId="48" xfId="1" applyNumberFormat="1" applyFont="1" applyFill="1" applyBorder="1" applyAlignment="1" applyProtection="1">
      <alignment horizontal="center"/>
    </xf>
    <xf numFmtId="2" fontId="7" fillId="4" borderId="49" xfId="0" applyNumberFormat="1" applyFont="1" applyFill="1" applyBorder="1" applyAlignment="1">
      <alignment horizontal="center"/>
    </xf>
    <xf numFmtId="0" fontId="6" fillId="0" borderId="13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 vertical="center"/>
    </xf>
    <xf numFmtId="0" fontId="6" fillId="20" borderId="11" xfId="0" applyFont="1" applyFill="1" applyBorder="1" applyAlignment="1">
      <alignment horizontal="left"/>
    </xf>
    <xf numFmtId="0" fontId="6" fillId="20" borderId="11" xfId="0" applyFont="1" applyFill="1" applyBorder="1" applyAlignment="1">
      <alignment horizontal="center"/>
    </xf>
    <xf numFmtId="0" fontId="6" fillId="20" borderId="11" xfId="0" applyFont="1" applyFill="1" applyBorder="1" applyAlignment="1">
      <alignment horizontal="center" vertical="center"/>
    </xf>
    <xf numFmtId="0" fontId="6" fillId="20" borderId="11" xfId="0" applyFont="1" applyFill="1" applyBorder="1"/>
    <xf numFmtId="2" fontId="7" fillId="4" borderId="58" xfId="0" applyNumberFormat="1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 vertical="center"/>
    </xf>
    <xf numFmtId="0" fontId="6" fillId="5" borderId="14" xfId="0" applyFont="1" applyFill="1" applyBorder="1" applyAlignment="1">
      <alignment horizontal="center" wrapText="1"/>
    </xf>
    <xf numFmtId="0" fontId="6" fillId="5" borderId="14" xfId="0" applyFont="1" applyFill="1" applyBorder="1" applyAlignment="1">
      <alignment horizontal="center" vertical="center" wrapText="1"/>
    </xf>
    <xf numFmtId="165" fontId="6" fillId="5" borderId="14" xfId="0" applyNumberFormat="1" applyFont="1" applyFill="1" applyBorder="1" applyAlignment="1">
      <alignment horizontal="center"/>
    </xf>
    <xf numFmtId="0" fontId="6" fillId="5" borderId="14" xfId="0" applyFont="1" applyFill="1" applyBorder="1" applyAlignment="1">
      <alignment horizontal="left"/>
    </xf>
    <xf numFmtId="0" fontId="17" fillId="5" borderId="14" xfId="0" applyFont="1" applyFill="1" applyBorder="1" applyAlignment="1">
      <alignment horizontal="center" vertical="center"/>
    </xf>
    <xf numFmtId="0" fontId="6" fillId="5" borderId="43" xfId="0" applyFont="1" applyFill="1" applyBorder="1" applyAlignment="1">
      <alignment horizontal="center"/>
    </xf>
    <xf numFmtId="0" fontId="6" fillId="5" borderId="43" xfId="0" applyFont="1" applyFill="1" applyBorder="1" applyAlignment="1">
      <alignment horizontal="center" vertical="center"/>
    </xf>
    <xf numFmtId="2" fontId="12" fillId="5" borderId="57" xfId="2" applyNumberFormat="1" applyFont="1" applyFill="1" applyBorder="1" applyAlignment="1" applyProtection="1">
      <alignment horizontal="center"/>
    </xf>
    <xf numFmtId="0" fontId="3" fillId="5" borderId="45" xfId="0" applyFont="1" applyFill="1" applyBorder="1"/>
    <xf numFmtId="2" fontId="12" fillId="5" borderId="46" xfId="2" applyNumberFormat="1" applyFont="1" applyFill="1" applyBorder="1" applyAlignment="1" applyProtection="1">
      <alignment horizontal="center"/>
    </xf>
    <xf numFmtId="2" fontId="12" fillId="5" borderId="46" xfId="2" applyNumberFormat="1" applyFont="1" applyFill="1" applyBorder="1" applyAlignment="1" applyProtection="1">
      <alignment horizontal="center" wrapText="1"/>
    </xf>
    <xf numFmtId="0" fontId="3" fillId="5" borderId="45" xfId="0" applyFont="1" applyFill="1" applyBorder="1" applyAlignment="1">
      <alignment horizontal="left" vertical="center" wrapText="1"/>
    </xf>
    <xf numFmtId="0" fontId="3" fillId="5" borderId="45" xfId="0" applyFont="1" applyFill="1" applyBorder="1" applyAlignment="1">
      <alignment vertical="center" wrapText="1"/>
    </xf>
    <xf numFmtId="0" fontId="3" fillId="20" borderId="31" xfId="0" applyFont="1" applyFill="1" applyBorder="1"/>
    <xf numFmtId="0" fontId="6" fillId="20" borderId="32" xfId="0" applyFont="1" applyFill="1" applyBorder="1" applyAlignment="1">
      <alignment horizontal="left"/>
    </xf>
    <xf numFmtId="0" fontId="6" fillId="20" borderId="32" xfId="0" applyFont="1" applyFill="1" applyBorder="1" applyAlignment="1">
      <alignment horizontal="center"/>
    </xf>
    <xf numFmtId="0" fontId="6" fillId="20" borderId="32" xfId="0" applyFont="1" applyFill="1" applyBorder="1" applyAlignment="1">
      <alignment horizontal="center" vertical="center"/>
    </xf>
    <xf numFmtId="0" fontId="3" fillId="20" borderId="34" xfId="0" applyFont="1" applyFill="1" applyBorder="1"/>
    <xf numFmtId="0" fontId="3" fillId="20" borderId="37" xfId="0" applyFont="1" applyFill="1" applyBorder="1" applyAlignment="1">
      <alignment horizontal="left"/>
    </xf>
    <xf numFmtId="0" fontId="6" fillId="20" borderId="38" xfId="0" applyFont="1" applyFill="1" applyBorder="1" applyAlignment="1">
      <alignment horizontal="left"/>
    </xf>
    <xf numFmtId="0" fontId="6" fillId="20" borderId="38" xfId="0" applyFont="1" applyFill="1" applyBorder="1" applyAlignment="1">
      <alignment horizontal="center"/>
    </xf>
    <xf numFmtId="0" fontId="6" fillId="20" borderId="38" xfId="0" applyFont="1" applyFill="1" applyBorder="1" applyAlignment="1">
      <alignment horizontal="center" vertical="center"/>
    </xf>
    <xf numFmtId="0" fontId="6" fillId="20" borderId="32" xfId="0" applyFont="1" applyFill="1" applyBorder="1"/>
    <xf numFmtId="2" fontId="12" fillId="20" borderId="33" xfId="2" applyNumberFormat="1" applyFont="1" applyFill="1" applyBorder="1" applyAlignment="1" applyProtection="1">
      <alignment horizontal="center"/>
    </xf>
    <xf numFmtId="2" fontId="12" fillId="20" borderId="35" xfId="2" applyNumberFormat="1" applyFont="1" applyFill="1" applyBorder="1" applyAlignment="1" applyProtection="1">
      <alignment horizontal="center"/>
    </xf>
    <xf numFmtId="2" fontId="12" fillId="20" borderId="39" xfId="2" applyNumberFormat="1" applyFont="1" applyFill="1" applyBorder="1" applyAlignment="1" applyProtection="1">
      <alignment horizontal="center"/>
    </xf>
    <xf numFmtId="0" fontId="3" fillId="20" borderId="40" xfId="0" applyFont="1" applyFill="1" applyBorder="1"/>
    <xf numFmtId="0" fontId="6" fillId="20" borderId="13" xfId="0" applyFont="1" applyFill="1" applyBorder="1" applyAlignment="1">
      <alignment horizontal="left"/>
    </xf>
    <xf numFmtId="0" fontId="6" fillId="20" borderId="13" xfId="0" applyFont="1" applyFill="1" applyBorder="1" applyAlignment="1">
      <alignment horizontal="center"/>
    </xf>
    <xf numFmtId="0" fontId="6" fillId="20" borderId="13" xfId="0" applyFont="1" applyFill="1" applyBorder="1"/>
    <xf numFmtId="0" fontId="6" fillId="20" borderId="13" xfId="0" applyFont="1" applyFill="1" applyBorder="1" applyAlignment="1">
      <alignment horizontal="center" vertical="center"/>
    </xf>
    <xf numFmtId="2" fontId="12" fillId="20" borderId="41" xfId="2" applyNumberFormat="1" applyFont="1" applyFill="1" applyBorder="1" applyAlignment="1" applyProtection="1">
      <alignment horizontal="center"/>
    </xf>
    <xf numFmtId="0" fontId="18" fillId="4" borderId="20" xfId="0" applyFont="1" applyFill="1" applyBorder="1"/>
    <xf numFmtId="0" fontId="18" fillId="4" borderId="27" xfId="0" applyFont="1" applyFill="1" applyBorder="1"/>
    <xf numFmtId="0" fontId="18" fillId="4" borderId="28" xfId="0" applyFont="1" applyFill="1" applyBorder="1"/>
    <xf numFmtId="0" fontId="6" fillId="4" borderId="12" xfId="0" applyFont="1" applyFill="1" applyBorder="1" applyAlignment="1">
      <alignment horizontal="center" vertical="center"/>
    </xf>
    <xf numFmtId="2" fontId="12" fillId="5" borderId="33" xfId="2" applyNumberFormat="1" applyFont="1" applyFill="1" applyBorder="1" applyAlignment="1" applyProtection="1">
      <alignment horizontal="center"/>
    </xf>
    <xf numFmtId="2" fontId="12" fillId="5" borderId="35" xfId="2" applyNumberFormat="1" applyFont="1" applyFill="1" applyBorder="1" applyAlignment="1" applyProtection="1">
      <alignment horizontal="center"/>
    </xf>
    <xf numFmtId="2" fontId="12" fillId="5" borderId="41" xfId="2" applyNumberFormat="1" applyFont="1" applyFill="1" applyBorder="1" applyAlignment="1" applyProtection="1">
      <alignment horizontal="center"/>
    </xf>
    <xf numFmtId="2" fontId="12" fillId="9" borderId="38" xfId="5" applyNumberFormat="1" applyFont="1" applyFill="1" applyBorder="1" applyAlignment="1" applyProtection="1">
      <alignment horizontal="center"/>
    </xf>
    <xf numFmtId="2" fontId="12" fillId="9" borderId="39" xfId="5" applyNumberFormat="1" applyFont="1" applyFill="1" applyBorder="1" applyAlignment="1" applyProtection="1">
      <alignment horizontal="center"/>
    </xf>
    <xf numFmtId="2" fontId="12" fillId="21" borderId="11" xfId="1" applyNumberFormat="1" applyFont="1" applyFill="1" applyBorder="1" applyAlignment="1" applyProtection="1">
      <alignment horizontal="center"/>
    </xf>
    <xf numFmtId="2" fontId="12" fillId="20" borderId="32" xfId="1" applyNumberFormat="1" applyFont="1" applyFill="1" applyBorder="1" applyAlignment="1" applyProtection="1">
      <alignment horizontal="center"/>
    </xf>
    <xf numFmtId="2" fontId="12" fillId="20" borderId="11" xfId="1" applyNumberFormat="1" applyFont="1" applyFill="1" applyBorder="1" applyAlignment="1" applyProtection="1">
      <alignment horizontal="center"/>
    </xf>
    <xf numFmtId="2" fontId="12" fillId="20" borderId="13" xfId="1" applyNumberFormat="1" applyFont="1" applyFill="1" applyBorder="1" applyAlignment="1" applyProtection="1">
      <alignment horizontal="center"/>
    </xf>
    <xf numFmtId="2" fontId="12" fillId="20" borderId="32" xfId="5" applyNumberFormat="1" applyFont="1" applyFill="1" applyBorder="1" applyAlignment="1" applyProtection="1">
      <alignment horizontal="center"/>
    </xf>
    <xf numFmtId="2" fontId="12" fillId="20" borderId="11" xfId="5" applyNumberFormat="1" applyFont="1" applyFill="1" applyBorder="1" applyAlignment="1" applyProtection="1">
      <alignment horizontal="center"/>
    </xf>
    <xf numFmtId="2" fontId="12" fillId="20" borderId="38" xfId="5" applyNumberFormat="1" applyFont="1" applyFill="1" applyBorder="1" applyAlignment="1" applyProtection="1">
      <alignment horizontal="center"/>
    </xf>
    <xf numFmtId="2" fontId="12" fillId="12" borderId="43" xfId="9" applyNumberFormat="1" applyFont="1" applyFill="1" applyBorder="1" applyAlignment="1" applyProtection="1">
      <alignment horizontal="center"/>
    </xf>
    <xf numFmtId="2" fontId="12" fillId="12" borderId="14" xfId="9" applyNumberFormat="1" applyFont="1" applyFill="1" applyBorder="1" applyAlignment="1" applyProtection="1">
      <alignment horizontal="center"/>
    </xf>
    <xf numFmtId="2" fontId="12" fillId="12" borderId="14" xfId="9" applyNumberFormat="1" applyFont="1" applyFill="1" applyBorder="1" applyAlignment="1" applyProtection="1">
      <alignment horizontal="center" wrapText="1"/>
    </xf>
    <xf numFmtId="2" fontId="12" fillId="5" borderId="14" xfId="1" applyNumberFormat="1" applyFont="1" applyFill="1" applyBorder="1" applyAlignment="1" applyProtection="1">
      <alignment horizontal="center"/>
    </xf>
    <xf numFmtId="2" fontId="12" fillId="5" borderId="14" xfId="9" applyNumberFormat="1" applyFont="1" applyFill="1" applyBorder="1" applyAlignment="1" applyProtection="1">
      <alignment horizontal="center"/>
    </xf>
    <xf numFmtId="2" fontId="12" fillId="12" borderId="14" xfId="1" applyNumberFormat="1" applyFont="1" applyFill="1" applyBorder="1" applyAlignment="1" applyProtection="1">
      <alignment horizontal="center"/>
    </xf>
    <xf numFmtId="2" fontId="13" fillId="9" borderId="27" xfId="5" applyNumberFormat="1" applyFont="1" applyFill="1" applyBorder="1" applyAlignment="1" applyProtection="1">
      <alignment horizontal="center"/>
    </xf>
    <xf numFmtId="2" fontId="13" fillId="9" borderId="28" xfId="5" applyNumberFormat="1" applyFont="1" applyFill="1" applyBorder="1" applyAlignment="1" applyProtection="1">
      <alignment horizontal="center"/>
    </xf>
    <xf numFmtId="0" fontId="18" fillId="4" borderId="16" xfId="0" applyFont="1" applyFill="1" applyBorder="1"/>
    <xf numFmtId="0" fontId="18" fillId="4" borderId="29" xfId="0" applyFont="1" applyFill="1" applyBorder="1"/>
    <xf numFmtId="2" fontId="4" fillId="4" borderId="29" xfId="0" applyNumberFormat="1" applyFont="1" applyFill="1" applyBorder="1"/>
    <xf numFmtId="0" fontId="4" fillId="0" borderId="20" xfId="0" applyFont="1" applyFill="1" applyBorder="1"/>
    <xf numFmtId="0" fontId="4" fillId="0" borderId="27" xfId="0" applyFont="1" applyFill="1" applyBorder="1" applyAlignment="1">
      <alignment horizontal="left"/>
    </xf>
    <xf numFmtId="0" fontId="4" fillId="0" borderId="27" xfId="0" applyFont="1" applyFill="1" applyBorder="1" applyAlignment="1">
      <alignment horizontal="center" vertical="center"/>
    </xf>
    <xf numFmtId="2" fontId="4" fillId="10" borderId="27" xfId="1" applyNumberFormat="1" applyFont="1" applyFill="1" applyBorder="1" applyAlignment="1" applyProtection="1">
      <alignment horizontal="center"/>
    </xf>
    <xf numFmtId="2" fontId="4" fillId="4" borderId="28" xfId="0" applyNumberFormat="1" applyFont="1" applyFill="1" applyBorder="1" applyAlignment="1">
      <alignment horizontal="center"/>
    </xf>
    <xf numFmtId="0" fontId="19" fillId="0" borderId="16" xfId="0" applyFont="1" applyBorder="1"/>
    <xf numFmtId="0" fontId="19" fillId="0" borderId="29" xfId="0" applyFont="1" applyBorder="1"/>
    <xf numFmtId="0" fontId="4" fillId="4" borderId="20" xfId="0" applyFont="1" applyFill="1" applyBorder="1" applyAlignment="1">
      <alignment horizontal="left" wrapText="1"/>
    </xf>
    <xf numFmtId="0" fontId="4" fillId="4" borderId="27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left"/>
    </xf>
    <xf numFmtId="0" fontId="4" fillId="4" borderId="29" xfId="0" applyFont="1" applyFill="1" applyBorder="1"/>
    <xf numFmtId="0" fontId="15" fillId="4" borderId="10" xfId="0" applyFont="1" applyFill="1" applyBorder="1" applyAlignment="1">
      <alignment horizontal="center" vertical="center"/>
    </xf>
    <xf numFmtId="2" fontId="12" fillId="12" borderId="10" xfId="2" applyNumberFormat="1" applyFont="1" applyFill="1" applyBorder="1" applyAlignment="1" applyProtection="1">
      <alignment horizontal="center"/>
    </xf>
    <xf numFmtId="0" fontId="15" fillId="4" borderId="11" xfId="0" applyFont="1" applyFill="1" applyBorder="1" applyAlignment="1">
      <alignment horizontal="center" vertical="center"/>
    </xf>
    <xf numFmtId="2" fontId="12" fillId="12" borderId="11" xfId="2" applyNumberFormat="1" applyFont="1" applyFill="1" applyBorder="1" applyAlignment="1" applyProtection="1">
      <alignment horizontal="center"/>
    </xf>
    <xf numFmtId="0" fontId="3" fillId="3" borderId="13" xfId="3" applyNumberFormat="1" applyFont="1" applyFill="1" applyBorder="1" applyAlignment="1" applyProtection="1">
      <alignment horizontal="center"/>
    </xf>
    <xf numFmtId="0" fontId="15" fillId="4" borderId="13" xfId="0" applyFont="1" applyFill="1" applyBorder="1" applyAlignment="1">
      <alignment horizontal="center" vertical="center"/>
    </xf>
    <xf numFmtId="2" fontId="12" fillId="12" borderId="13" xfId="2" applyNumberFormat="1" applyFont="1" applyFill="1" applyBorder="1" applyAlignment="1" applyProtection="1">
      <alignment horizontal="center"/>
    </xf>
    <xf numFmtId="0" fontId="11" fillId="4" borderId="20" xfId="0" applyFont="1" applyFill="1" applyBorder="1"/>
    <xf numFmtId="0" fontId="11" fillId="4" borderId="27" xfId="0" applyFont="1" applyFill="1" applyBorder="1"/>
    <xf numFmtId="2" fontId="7" fillId="4" borderId="27" xfId="0" applyNumberFormat="1" applyFont="1" applyFill="1" applyBorder="1"/>
    <xf numFmtId="0" fontId="11" fillId="4" borderId="16" xfId="0" applyFont="1" applyFill="1" applyBorder="1"/>
    <xf numFmtId="0" fontId="20" fillId="4" borderId="29" xfId="0" applyFont="1" applyFill="1" applyBorder="1"/>
    <xf numFmtId="0" fontId="11" fillId="4" borderId="29" xfId="0" applyFont="1" applyFill="1" applyBorder="1"/>
    <xf numFmtId="2" fontId="7" fillId="4" borderId="29" xfId="0" applyNumberFormat="1" applyFont="1" applyFill="1" applyBorder="1"/>
    <xf numFmtId="2" fontId="7" fillId="4" borderId="30" xfId="0" applyNumberFormat="1" applyFont="1" applyFill="1" applyBorder="1" applyAlignment="1">
      <alignment horizontal="center"/>
    </xf>
    <xf numFmtId="0" fontId="11" fillId="4" borderId="8" xfId="0" applyFont="1" applyFill="1" applyBorder="1"/>
    <xf numFmtId="0" fontId="11" fillId="4" borderId="55" xfId="0" applyFont="1" applyFill="1" applyBorder="1"/>
    <xf numFmtId="2" fontId="7" fillId="4" borderId="55" xfId="0" applyNumberFormat="1" applyFont="1" applyFill="1" applyBorder="1"/>
    <xf numFmtId="2" fontId="7" fillId="4" borderId="56" xfId="0" applyNumberFormat="1" applyFont="1" applyFill="1" applyBorder="1" applyAlignment="1">
      <alignment horizontal="center"/>
    </xf>
    <xf numFmtId="2" fontId="12" fillId="4" borderId="55" xfId="0" applyNumberFormat="1" applyFont="1" applyFill="1" applyBorder="1"/>
    <xf numFmtId="2" fontId="12" fillId="4" borderId="56" xfId="0" applyNumberFormat="1" applyFont="1" applyFill="1" applyBorder="1" applyAlignment="1">
      <alignment horizontal="center"/>
    </xf>
    <xf numFmtId="0" fontId="4" fillId="4" borderId="55" xfId="0" applyFont="1" applyFill="1" applyBorder="1"/>
    <xf numFmtId="2" fontId="12" fillId="5" borderId="10" xfId="2" applyNumberFormat="1" applyFont="1" applyFill="1" applyBorder="1" applyAlignment="1" applyProtection="1">
      <alignment horizontal="center"/>
    </xf>
    <xf numFmtId="2" fontId="12" fillId="5" borderId="11" xfId="2" applyNumberFormat="1" applyFont="1" applyFill="1" applyBorder="1" applyAlignment="1" applyProtection="1">
      <alignment horizontal="center"/>
    </xf>
    <xf numFmtId="2" fontId="12" fillId="5" borderId="13" xfId="2" applyNumberFormat="1" applyFont="1" applyFill="1" applyBorder="1" applyAlignment="1" applyProtection="1">
      <alignment horizontal="center"/>
    </xf>
    <xf numFmtId="2" fontId="12" fillId="5" borderId="39" xfId="2" applyNumberFormat="1" applyFont="1" applyFill="1" applyBorder="1" applyAlignment="1" applyProtection="1">
      <alignment horizontal="center"/>
    </xf>
    <xf numFmtId="0" fontId="23" fillId="4" borderId="8" xfId="0" applyFont="1" applyFill="1" applyBorder="1"/>
    <xf numFmtId="0" fontId="23" fillId="4" borderId="55" xfId="0" applyFont="1" applyFill="1" applyBorder="1"/>
    <xf numFmtId="0" fontId="8" fillId="5" borderId="10" xfId="3" applyNumberFormat="1" applyFont="1" applyFill="1" applyBorder="1" applyAlignment="1" applyProtection="1">
      <alignment horizontal="center"/>
    </xf>
    <xf numFmtId="0" fontId="3" fillId="5" borderId="10" xfId="10" applyNumberFormat="1" applyFont="1" applyFill="1" applyBorder="1" applyAlignment="1" applyProtection="1">
      <alignment horizontal="center"/>
    </xf>
    <xf numFmtId="0" fontId="8" fillId="5" borderId="11" xfId="3" applyNumberFormat="1" applyFont="1" applyFill="1" applyBorder="1" applyAlignment="1" applyProtection="1">
      <alignment horizontal="center"/>
    </xf>
    <xf numFmtId="0" fontId="3" fillId="5" borderId="11" xfId="10" applyNumberFormat="1" applyFont="1" applyFill="1" applyBorder="1" applyAlignment="1" applyProtection="1">
      <alignment horizontal="center"/>
    </xf>
    <xf numFmtId="0" fontId="3" fillId="5" borderId="10" xfId="10" applyNumberFormat="1" applyFont="1" applyFill="1" applyBorder="1" applyAlignment="1" applyProtection="1">
      <alignment horizontal="center" vertical="center"/>
    </xf>
    <xf numFmtId="0" fontId="3" fillId="5" borderId="11" xfId="10" applyNumberFormat="1" applyFont="1" applyFill="1" applyBorder="1" applyAlignment="1" applyProtection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 vertical="center"/>
    </xf>
    <xf numFmtId="167" fontId="6" fillId="4" borderId="10" xfId="0" applyNumberFormat="1" applyFont="1" applyFill="1" applyBorder="1" applyAlignment="1">
      <alignment horizontal="center" vertical="center"/>
    </xf>
    <xf numFmtId="2" fontId="12" fillId="6" borderId="10" xfId="2" applyNumberFormat="1" applyFont="1" applyFill="1" applyBorder="1" applyAlignment="1" applyProtection="1">
      <alignment horizontal="center"/>
    </xf>
    <xf numFmtId="2" fontId="12" fillId="6" borderId="11" xfId="2" applyNumberFormat="1" applyFont="1" applyFill="1" applyBorder="1" applyAlignment="1" applyProtection="1">
      <alignment horizontal="center"/>
    </xf>
    <xf numFmtId="2" fontId="12" fillId="5" borderId="10" xfId="10" applyNumberFormat="1" applyFont="1" applyFill="1" applyBorder="1" applyAlignment="1" applyProtection="1">
      <alignment horizontal="center"/>
    </xf>
    <xf numFmtId="2" fontId="12" fillId="5" borderId="11" xfId="10" applyNumberFormat="1" applyFont="1" applyFill="1" applyBorder="1" applyAlignment="1" applyProtection="1">
      <alignment horizontal="center"/>
    </xf>
    <xf numFmtId="2" fontId="12" fillId="5" borderId="32" xfId="2" applyNumberFormat="1" applyFont="1" applyFill="1" applyBorder="1" applyAlignment="1" applyProtection="1">
      <alignment horizontal="center"/>
    </xf>
    <xf numFmtId="2" fontId="12" fillId="5" borderId="38" xfId="2" applyNumberFormat="1" applyFont="1" applyFill="1" applyBorder="1" applyAlignment="1" applyProtection="1">
      <alignment horizontal="center"/>
    </xf>
    <xf numFmtId="2" fontId="12" fillId="6" borderId="13" xfId="2" applyNumberFormat="1" applyFont="1" applyFill="1" applyBorder="1" applyAlignment="1" applyProtection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 vertical="center"/>
    </xf>
    <xf numFmtId="0" fontId="3" fillId="0" borderId="37" xfId="0" applyFont="1" applyFill="1" applyBorder="1" applyAlignment="1"/>
    <xf numFmtId="0" fontId="6" fillId="0" borderId="38" xfId="0" applyFont="1" applyFill="1" applyBorder="1" applyAlignment="1">
      <alignment horizontal="left"/>
    </xf>
    <xf numFmtId="0" fontId="6" fillId="0" borderId="38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 vertical="center"/>
    </xf>
    <xf numFmtId="2" fontId="12" fillId="4" borderId="61" xfId="0" applyNumberFormat="1" applyFont="1" applyFill="1" applyBorder="1" applyAlignment="1">
      <alignment horizontal="center"/>
    </xf>
    <xf numFmtId="0" fontId="3" fillId="0" borderId="31" xfId="0" applyFont="1" applyFill="1" applyBorder="1" applyAlignment="1"/>
    <xf numFmtId="0" fontId="6" fillId="0" borderId="32" xfId="0" applyFont="1" applyFill="1" applyBorder="1" applyAlignment="1">
      <alignment horizontal="left"/>
    </xf>
    <xf numFmtId="168" fontId="12" fillId="12" borderId="32" xfId="2" applyNumberFormat="1" applyFont="1" applyFill="1" applyBorder="1" applyAlignment="1" applyProtection="1">
      <alignment horizontal="center"/>
    </xf>
    <xf numFmtId="2" fontId="12" fillId="4" borderId="33" xfId="0" applyNumberFormat="1" applyFont="1" applyFill="1" applyBorder="1" applyAlignment="1">
      <alignment horizontal="center"/>
    </xf>
    <xf numFmtId="168" fontId="12" fillId="12" borderId="38" xfId="2" applyNumberFormat="1" applyFont="1" applyFill="1" applyBorder="1" applyAlignment="1" applyProtection="1">
      <alignment horizontal="center"/>
    </xf>
    <xf numFmtId="2" fontId="12" fillId="4" borderId="62" xfId="0" applyNumberFormat="1" applyFont="1" applyFill="1" applyBorder="1" applyAlignment="1">
      <alignment horizontal="center"/>
    </xf>
    <xf numFmtId="0" fontId="25" fillId="4" borderId="20" xfId="0" applyFont="1" applyFill="1" applyBorder="1"/>
    <xf numFmtId="0" fontId="4" fillId="4" borderId="27" xfId="0" applyFont="1" applyFill="1" applyBorder="1"/>
    <xf numFmtId="0" fontId="25" fillId="4" borderId="27" xfId="0" applyFont="1" applyFill="1" applyBorder="1"/>
    <xf numFmtId="0" fontId="20" fillId="4" borderId="16" xfId="0" applyFont="1" applyFill="1" applyBorder="1"/>
    <xf numFmtId="2" fontId="13" fillId="4" borderId="29" xfId="0" applyNumberFormat="1" applyFont="1" applyFill="1" applyBorder="1"/>
    <xf numFmtId="2" fontId="13" fillId="4" borderId="30" xfId="0" applyNumberFormat="1" applyFont="1" applyFill="1" applyBorder="1" applyAlignment="1">
      <alignment horizontal="center"/>
    </xf>
    <xf numFmtId="0" fontId="3" fillId="0" borderId="42" xfId="0" applyFont="1" applyFill="1" applyBorder="1" applyAlignment="1">
      <alignment wrapText="1"/>
    </xf>
    <xf numFmtId="0" fontId="6" fillId="0" borderId="43" xfId="0" applyFont="1" applyFill="1" applyBorder="1" applyAlignment="1"/>
    <xf numFmtId="0" fontId="6" fillId="0" borderId="43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 vertical="center"/>
    </xf>
    <xf numFmtId="2" fontId="12" fillId="6" borderId="43" xfId="2" applyNumberFormat="1" applyFont="1" applyFill="1" applyBorder="1" applyAlignment="1" applyProtection="1">
      <alignment horizontal="center"/>
    </xf>
    <xf numFmtId="0" fontId="3" fillId="0" borderId="47" xfId="0" applyFont="1" applyFill="1" applyBorder="1" applyAlignment="1">
      <alignment wrapText="1"/>
    </xf>
    <xf numFmtId="0" fontId="6" fillId="0" borderId="48" xfId="0" applyFont="1" applyFill="1" applyBorder="1" applyAlignment="1"/>
    <xf numFmtId="0" fontId="6" fillId="0" borderId="48" xfId="0" applyFont="1" applyFill="1" applyBorder="1" applyAlignment="1">
      <alignment horizontal="center"/>
    </xf>
    <xf numFmtId="0" fontId="6" fillId="0" borderId="48" xfId="0" applyFont="1" applyFill="1" applyBorder="1" applyAlignment="1">
      <alignment horizontal="center" vertical="center"/>
    </xf>
    <xf numFmtId="2" fontId="12" fillId="6" borderId="48" xfId="2" applyNumberFormat="1" applyFont="1" applyFill="1" applyBorder="1" applyAlignment="1" applyProtection="1">
      <alignment horizontal="center"/>
    </xf>
    <xf numFmtId="0" fontId="3" fillId="4" borderId="15" xfId="0" applyFont="1" applyFill="1" applyBorder="1" applyAlignment="1">
      <alignment horizontal="left"/>
    </xf>
    <xf numFmtId="0" fontId="3" fillId="4" borderId="11" xfId="0" applyFont="1" applyFill="1" applyBorder="1" applyAlignment="1">
      <alignment horizontal="center" vertical="center" wrapText="1"/>
    </xf>
    <xf numFmtId="0" fontId="3" fillId="4" borderId="31" xfId="0" applyFont="1" applyFill="1" applyBorder="1" applyAlignment="1">
      <alignment horizontal="left"/>
    </xf>
    <xf numFmtId="2" fontId="12" fillId="4" borderId="32" xfId="0" applyNumberFormat="1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left"/>
    </xf>
    <xf numFmtId="0" fontId="3" fillId="4" borderId="37" xfId="0" applyFont="1" applyFill="1" applyBorder="1" applyAlignment="1">
      <alignment horizontal="left"/>
    </xf>
    <xf numFmtId="0" fontId="3" fillId="4" borderId="60" xfId="0" applyFont="1" applyFill="1" applyBorder="1" applyAlignment="1">
      <alignment horizontal="left"/>
    </xf>
    <xf numFmtId="0" fontId="3" fillId="4" borderId="38" xfId="0" applyFont="1" applyFill="1" applyBorder="1" applyAlignment="1">
      <alignment horizontal="center" vertical="center"/>
    </xf>
    <xf numFmtId="2" fontId="12" fillId="4" borderId="35" xfId="0" applyNumberFormat="1" applyFont="1" applyFill="1" applyBorder="1" applyAlignment="1">
      <alignment horizontal="center"/>
    </xf>
    <xf numFmtId="0" fontId="3" fillId="0" borderId="31" xfId="0" applyFont="1" applyFill="1" applyBorder="1"/>
    <xf numFmtId="2" fontId="12" fillId="6" borderId="32" xfId="1" applyNumberFormat="1" applyFont="1" applyFill="1" applyBorder="1" applyAlignment="1" applyProtection="1">
      <alignment horizontal="center"/>
    </xf>
    <xf numFmtId="0" fontId="3" fillId="0" borderId="34" xfId="0" applyFont="1" applyFill="1" applyBorder="1"/>
    <xf numFmtId="0" fontId="3" fillId="0" borderId="40" xfId="0" applyFont="1" applyFill="1" applyBorder="1"/>
    <xf numFmtId="2" fontId="12" fillId="4" borderId="41" xfId="0" applyNumberFormat="1" applyFont="1" applyFill="1" applyBorder="1" applyAlignment="1">
      <alignment horizontal="center"/>
    </xf>
    <xf numFmtId="0" fontId="3" fillId="4" borderId="34" xfId="0" applyFont="1" applyFill="1" applyBorder="1" applyAlignment="1">
      <alignment wrapText="1"/>
    </xf>
    <xf numFmtId="0" fontId="3" fillId="4" borderId="34" xfId="0" applyFont="1" applyFill="1" applyBorder="1" applyAlignment="1">
      <alignment horizontal="left" wrapText="1"/>
    </xf>
    <xf numFmtId="0" fontId="3" fillId="4" borderId="40" xfId="0" applyFont="1" applyFill="1" applyBorder="1" applyAlignment="1">
      <alignment horizontal="left" wrapText="1"/>
    </xf>
    <xf numFmtId="0" fontId="3" fillId="3" borderId="36" xfId="3" applyNumberFormat="1" applyFont="1" applyFill="1" applyBorder="1" applyAlignment="1" applyProtection="1">
      <alignment horizontal="left"/>
    </xf>
    <xf numFmtId="2" fontId="12" fillId="5" borderId="61" xfId="2" applyNumberFormat="1" applyFont="1" applyFill="1" applyBorder="1" applyAlignment="1" applyProtection="1">
      <alignment horizontal="center"/>
    </xf>
    <xf numFmtId="0" fontId="3" fillId="3" borderId="34" xfId="3" applyNumberFormat="1" applyFont="1" applyFill="1" applyBorder="1" applyAlignment="1" applyProtection="1">
      <alignment horizontal="left"/>
    </xf>
    <xf numFmtId="0" fontId="3" fillId="3" borderId="40" xfId="3" applyNumberFormat="1" applyFont="1" applyFill="1" applyBorder="1" applyAlignment="1" applyProtection="1">
      <alignment horizontal="left"/>
    </xf>
    <xf numFmtId="0" fontId="3" fillId="5" borderId="36" xfId="3" applyNumberFormat="1" applyFont="1" applyFill="1" applyBorder="1" applyAlignment="1" applyProtection="1"/>
    <xf numFmtId="2" fontId="12" fillId="5" borderId="61" xfId="10" applyNumberFormat="1" applyFont="1" applyFill="1" applyBorder="1" applyAlignment="1" applyProtection="1">
      <alignment horizontal="center"/>
    </xf>
    <xf numFmtId="0" fontId="3" fillId="5" borderId="34" xfId="3" applyNumberFormat="1" applyFont="1" applyFill="1" applyBorder="1" applyAlignment="1" applyProtection="1"/>
    <xf numFmtId="2" fontId="12" fillId="5" borderId="35" xfId="10" applyNumberFormat="1" applyFont="1" applyFill="1" applyBorder="1" applyAlignment="1" applyProtection="1">
      <alignment horizontal="center"/>
    </xf>
    <xf numFmtId="0" fontId="3" fillId="4" borderId="36" xfId="0" applyFont="1" applyFill="1" applyBorder="1" applyAlignment="1"/>
    <xf numFmtId="0" fontId="3" fillId="4" borderId="34" xfId="0" applyFont="1" applyFill="1" applyBorder="1" applyAlignment="1"/>
    <xf numFmtId="0" fontId="3" fillId="4" borderId="40" xfId="0" applyFont="1" applyFill="1" applyBorder="1" applyAlignment="1"/>
    <xf numFmtId="166" fontId="22" fillId="23" borderId="0" xfId="2" applyNumberFormat="1" applyFont="1" applyFill="1" applyBorder="1" applyAlignment="1" applyProtection="1">
      <alignment horizontal="center"/>
    </xf>
    <xf numFmtId="0" fontId="3" fillId="4" borderId="40" xfId="0" applyFont="1" applyFill="1" applyBorder="1" applyAlignment="1">
      <alignment horizontal="left"/>
    </xf>
    <xf numFmtId="0" fontId="26" fillId="0" borderId="65" xfId="0" applyFont="1" applyFill="1" applyBorder="1" applyAlignment="1">
      <alignment horizontal="center" vertical="center"/>
    </xf>
    <xf numFmtId="0" fontId="4" fillId="4" borderId="20" xfId="0" applyFont="1" applyFill="1" applyBorder="1"/>
    <xf numFmtId="0" fontId="3" fillId="0" borderId="11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63" xfId="0" applyFont="1" applyFill="1" applyBorder="1" applyAlignment="1">
      <alignment vertical="center" wrapText="1"/>
    </xf>
    <xf numFmtId="0" fontId="6" fillId="0" borderId="64" xfId="0" applyFont="1" applyFill="1" applyBorder="1" applyAlignment="1">
      <alignment vertical="center" wrapText="1"/>
    </xf>
    <xf numFmtId="0" fontId="26" fillId="0" borderId="65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wrapText="1"/>
    </xf>
    <xf numFmtId="0" fontId="6" fillId="0" borderId="66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wrapText="1"/>
    </xf>
    <xf numFmtId="0" fontId="3" fillId="4" borderId="5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wrapText="1"/>
    </xf>
    <xf numFmtId="0" fontId="26" fillId="0" borderId="67" xfId="0" applyFont="1" applyFill="1" applyBorder="1" applyAlignment="1">
      <alignment horizontal="left" vertical="center"/>
    </xf>
    <xf numFmtId="0" fontId="3" fillId="0" borderId="36" xfId="0" applyFont="1" applyFill="1" applyBorder="1" applyAlignment="1">
      <alignment horizontal="center" wrapText="1"/>
    </xf>
    <xf numFmtId="0" fontId="3" fillId="0" borderId="34" xfId="0" applyFont="1" applyFill="1" applyBorder="1" applyAlignment="1">
      <alignment horizontal="center" wrapText="1"/>
    </xf>
    <xf numFmtId="0" fontId="3" fillId="0" borderId="40" xfId="0" applyFont="1" applyFill="1" applyBorder="1" applyAlignment="1">
      <alignment horizontal="center" wrapText="1"/>
    </xf>
    <xf numFmtId="2" fontId="12" fillId="4" borderId="26" xfId="0" applyNumberFormat="1" applyFont="1" applyFill="1" applyBorder="1" applyAlignment="1">
      <alignment horizontal="center"/>
    </xf>
    <xf numFmtId="0" fontId="3" fillId="4" borderId="36" xfId="0" applyFont="1" applyFill="1" applyBorder="1" applyAlignment="1">
      <alignment horizontal="center" wrapText="1"/>
    </xf>
    <xf numFmtId="0" fontId="3" fillId="4" borderId="37" xfId="0" applyFont="1" applyFill="1" applyBorder="1" applyAlignment="1">
      <alignment horizontal="center" wrapText="1"/>
    </xf>
    <xf numFmtId="0" fontId="6" fillId="4" borderId="38" xfId="0" applyFont="1" applyFill="1" applyBorder="1" applyAlignment="1">
      <alignment horizontal="left" wrapText="1"/>
    </xf>
    <xf numFmtId="0" fontId="6" fillId="4" borderId="38" xfId="0" applyFont="1" applyFill="1" applyBorder="1"/>
    <xf numFmtId="0" fontId="3" fillId="4" borderId="69" xfId="0" applyFont="1" applyFill="1" applyBorder="1" applyAlignment="1">
      <alignment horizontal="center" vertical="center" wrapText="1"/>
    </xf>
    <xf numFmtId="0" fontId="6" fillId="4" borderId="38" xfId="0" applyFont="1" applyFill="1" applyBorder="1" applyAlignment="1">
      <alignment horizontal="center" wrapText="1"/>
    </xf>
    <xf numFmtId="0" fontId="28" fillId="0" borderId="11" xfId="0" applyFont="1" applyFill="1" applyBorder="1" applyAlignment="1">
      <alignment horizontal="center"/>
    </xf>
    <xf numFmtId="0" fontId="3" fillId="4" borderId="42" xfId="0" applyFont="1" applyFill="1" applyBorder="1" applyAlignment="1">
      <alignment horizontal="left"/>
    </xf>
    <xf numFmtId="0" fontId="3" fillId="4" borderId="45" xfId="0" applyFont="1" applyFill="1" applyBorder="1" applyAlignment="1">
      <alignment horizontal="left"/>
    </xf>
    <xf numFmtId="0" fontId="3" fillId="4" borderId="47" xfId="0" applyFont="1" applyFill="1" applyBorder="1" applyAlignment="1">
      <alignment horizontal="left"/>
    </xf>
    <xf numFmtId="2" fontId="12" fillId="21" borderId="43" xfId="2" applyNumberFormat="1" applyFont="1" applyFill="1" applyBorder="1" applyAlignment="1" applyProtection="1">
      <alignment horizontal="center"/>
    </xf>
    <xf numFmtId="2" fontId="12" fillId="6" borderId="14" xfId="2" applyNumberFormat="1" applyFont="1" applyFill="1" applyBorder="1" applyAlignment="1" applyProtection="1">
      <alignment horizontal="center"/>
    </xf>
    <xf numFmtId="2" fontId="12" fillId="5" borderId="14" xfId="2" applyNumberFormat="1" applyFont="1" applyFill="1" applyBorder="1" applyAlignment="1" applyProtection="1">
      <alignment horizontal="center"/>
    </xf>
    <xf numFmtId="2" fontId="12" fillId="21" borderId="14" xfId="2" applyNumberFormat="1" applyFont="1" applyFill="1" applyBorder="1" applyAlignment="1" applyProtection="1">
      <alignment horizontal="center"/>
    </xf>
    <xf numFmtId="2" fontId="12" fillId="21" borderId="14" xfId="0" applyNumberFormat="1" applyFont="1" applyFill="1" applyBorder="1" applyAlignment="1">
      <alignment horizontal="center"/>
    </xf>
    <xf numFmtId="2" fontId="12" fillId="6" borderId="14" xfId="0" applyNumberFormat="1" applyFont="1" applyFill="1" applyBorder="1" applyAlignment="1">
      <alignment horizontal="center"/>
    </xf>
    <xf numFmtId="2" fontId="12" fillId="5" borderId="14" xfId="0" applyNumberFormat="1" applyFont="1" applyFill="1" applyBorder="1" applyAlignment="1">
      <alignment horizontal="center"/>
    </xf>
    <xf numFmtId="2" fontId="12" fillId="5" borderId="46" xfId="0" applyNumberFormat="1" applyFont="1" applyFill="1" applyBorder="1" applyAlignment="1">
      <alignment horizontal="center"/>
    </xf>
    <xf numFmtId="2" fontId="12" fillId="6" borderId="48" xfId="0" applyNumberFormat="1" applyFont="1" applyFill="1" applyBorder="1" applyAlignment="1">
      <alignment horizontal="center"/>
    </xf>
    <xf numFmtId="2" fontId="12" fillId="5" borderId="49" xfId="2" applyNumberFormat="1" applyFont="1" applyFill="1" applyBorder="1" applyAlignment="1" applyProtection="1">
      <alignment horizontal="center"/>
    </xf>
    <xf numFmtId="168" fontId="12" fillId="21" borderId="11" xfId="0" applyNumberFormat="1" applyFont="1" applyFill="1" applyBorder="1" applyAlignment="1">
      <alignment horizontal="center"/>
    </xf>
    <xf numFmtId="0" fontId="17" fillId="5" borderId="14" xfId="0" applyFont="1" applyFill="1" applyBorder="1" applyAlignment="1">
      <alignment horizontal="center" vertical="center" wrapText="1"/>
    </xf>
    <xf numFmtId="2" fontId="12" fillId="5" borderId="43" xfId="2" applyNumberFormat="1" applyFont="1" applyFill="1" applyBorder="1" applyAlignment="1" applyProtection="1">
      <alignment horizontal="center"/>
    </xf>
    <xf numFmtId="0" fontId="4" fillId="4" borderId="3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left"/>
    </xf>
    <xf numFmtId="0" fontId="4" fillId="4" borderId="27" xfId="0" applyFont="1" applyFill="1" applyBorder="1" applyAlignment="1">
      <alignment horizontal="left"/>
    </xf>
    <xf numFmtId="2" fontId="12" fillId="4" borderId="57" xfId="0" applyNumberFormat="1" applyFont="1" applyFill="1" applyBorder="1" applyAlignment="1">
      <alignment horizontal="center"/>
    </xf>
    <xf numFmtId="2" fontId="12" fillId="4" borderId="49" xfId="0" applyNumberFormat="1" applyFont="1" applyFill="1" applyBorder="1" applyAlignment="1">
      <alignment horizontal="center"/>
    </xf>
    <xf numFmtId="0" fontId="0" fillId="24" borderId="0" xfId="0" applyFill="1"/>
    <xf numFmtId="0" fontId="4" fillId="4" borderId="16" xfId="0" applyFont="1" applyFill="1" applyBorder="1"/>
    <xf numFmtId="0" fontId="3" fillId="5" borderId="42" xfId="0" applyFont="1" applyFill="1" applyBorder="1" applyAlignment="1"/>
    <xf numFmtId="0" fontId="6" fillId="5" borderId="43" xfId="0" applyFont="1" applyFill="1" applyBorder="1" applyAlignment="1">
      <alignment horizontal="left"/>
    </xf>
    <xf numFmtId="0" fontId="3" fillId="5" borderId="45" xfId="0" applyFont="1" applyFill="1" applyBorder="1" applyAlignment="1"/>
    <xf numFmtId="0" fontId="3" fillId="5" borderId="47" xfId="0" applyFont="1" applyFill="1" applyBorder="1" applyAlignment="1"/>
    <xf numFmtId="0" fontId="6" fillId="5" borderId="48" xfId="0" applyFont="1" applyFill="1" applyBorder="1" applyAlignment="1">
      <alignment horizontal="left"/>
    </xf>
    <xf numFmtId="0" fontId="6" fillId="5" borderId="48" xfId="0" applyFont="1" applyFill="1" applyBorder="1" applyAlignment="1">
      <alignment horizontal="center"/>
    </xf>
    <xf numFmtId="0" fontId="6" fillId="5" borderId="48" xfId="0" applyFont="1" applyFill="1" applyBorder="1" applyAlignment="1">
      <alignment horizontal="center" vertical="center"/>
    </xf>
    <xf numFmtId="2" fontId="12" fillId="5" borderId="48" xfId="2" applyNumberFormat="1" applyFont="1" applyFill="1" applyBorder="1" applyAlignment="1" applyProtection="1">
      <alignment horizontal="center"/>
    </xf>
    <xf numFmtId="0" fontId="11" fillId="4" borderId="0" xfId="0" applyFont="1" applyFill="1" applyBorder="1"/>
    <xf numFmtId="2" fontId="7" fillId="4" borderId="0" xfId="0" applyNumberFormat="1" applyFont="1" applyFill="1" applyBorder="1"/>
    <xf numFmtId="0" fontId="0" fillId="0" borderId="0" xfId="0" applyBorder="1"/>
    <xf numFmtId="0" fontId="6" fillId="0" borderId="11" xfId="0" applyFont="1" applyFill="1" applyBorder="1"/>
    <xf numFmtId="0" fontId="6" fillId="0" borderId="13" xfId="0" applyFont="1" applyFill="1" applyBorder="1"/>
    <xf numFmtId="0" fontId="6" fillId="0" borderId="14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14" xfId="0" applyFont="1" applyFill="1" applyBorder="1"/>
    <xf numFmtId="0" fontId="3" fillId="0" borderId="42" xfId="0" applyFont="1" applyFill="1" applyBorder="1"/>
    <xf numFmtId="0" fontId="6" fillId="0" borderId="43" xfId="0" applyFont="1" applyFill="1" applyBorder="1" applyAlignment="1">
      <alignment horizontal="left"/>
    </xf>
    <xf numFmtId="0" fontId="3" fillId="0" borderId="45" xfId="0" applyFont="1" applyFill="1" applyBorder="1"/>
    <xf numFmtId="0" fontId="3" fillId="0" borderId="47" xfId="0" applyFont="1" applyFill="1" applyBorder="1"/>
    <xf numFmtId="0" fontId="6" fillId="0" borderId="48" xfId="0" applyFont="1" applyFill="1" applyBorder="1"/>
    <xf numFmtId="0" fontId="23" fillId="4" borderId="0" xfId="0" applyFont="1" applyFill="1"/>
    <xf numFmtId="2" fontId="3" fillId="6" borderId="43" xfId="2" applyNumberFormat="1" applyFont="1" applyFill="1" applyBorder="1" applyAlignment="1" applyProtection="1">
      <alignment horizontal="center"/>
    </xf>
    <xf numFmtId="2" fontId="3" fillId="6" borderId="14" xfId="2" applyNumberFormat="1" applyFont="1" applyFill="1" applyBorder="1" applyAlignment="1" applyProtection="1">
      <alignment horizontal="center"/>
    </xf>
    <xf numFmtId="2" fontId="3" fillId="6" borderId="48" xfId="2" applyNumberFormat="1" applyFont="1" applyFill="1" applyBorder="1" applyAlignment="1" applyProtection="1">
      <alignment horizontal="center"/>
    </xf>
    <xf numFmtId="0" fontId="28" fillId="0" borderId="0" xfId="3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42" xfId="3" applyNumberFormat="1" applyFont="1" applyFill="1" applyBorder="1" applyAlignment="1" applyProtection="1">
      <alignment horizontal="left"/>
    </xf>
    <xf numFmtId="0" fontId="6" fillId="0" borderId="43" xfId="3" applyNumberFormat="1" applyFont="1" applyFill="1" applyBorder="1" applyAlignment="1" applyProtection="1">
      <alignment horizontal="left"/>
    </xf>
    <xf numFmtId="0" fontId="6" fillId="0" borderId="43" xfId="3" applyNumberFormat="1" applyFont="1" applyFill="1" applyBorder="1" applyAlignment="1" applyProtection="1">
      <alignment horizontal="center"/>
    </xf>
    <xf numFmtId="2" fontId="3" fillId="5" borderId="57" xfId="3" applyNumberFormat="1" applyFont="1" applyFill="1" applyBorder="1" applyAlignment="1" applyProtection="1">
      <alignment horizontal="center"/>
    </xf>
    <xf numFmtId="0" fontId="3" fillId="0" borderId="45" xfId="3" applyNumberFormat="1" applyFont="1" applyFill="1" applyBorder="1" applyAlignment="1" applyProtection="1">
      <alignment horizontal="left"/>
    </xf>
    <xf numFmtId="0" fontId="6" fillId="0" borderId="14" xfId="3" applyNumberFormat="1" applyFont="1" applyFill="1" applyBorder="1" applyAlignment="1" applyProtection="1">
      <alignment horizontal="left"/>
    </xf>
    <xf numFmtId="0" fontId="6" fillId="0" borderId="14" xfId="3" applyNumberFormat="1" applyFont="1" applyFill="1" applyBorder="1" applyAlignment="1" applyProtection="1">
      <alignment horizontal="center"/>
    </xf>
    <xf numFmtId="2" fontId="3" fillId="5" borderId="46" xfId="3" applyNumberFormat="1" applyFont="1" applyFill="1" applyBorder="1" applyAlignment="1" applyProtection="1">
      <alignment horizontal="center"/>
    </xf>
    <xf numFmtId="2" fontId="3" fillId="10" borderId="46" xfId="3" applyNumberFormat="1" applyFont="1" applyFill="1" applyBorder="1" applyAlignment="1" applyProtection="1">
      <alignment horizontal="center"/>
    </xf>
    <xf numFmtId="0" fontId="3" fillId="0" borderId="47" xfId="3" applyNumberFormat="1" applyFont="1" applyFill="1" applyBorder="1" applyAlignment="1" applyProtection="1">
      <alignment horizontal="left"/>
    </xf>
    <xf numFmtId="0" fontId="6" fillId="0" borderId="48" xfId="3" applyNumberFormat="1" applyFont="1" applyFill="1" applyBorder="1" applyAlignment="1" applyProtection="1">
      <alignment horizontal="center"/>
    </xf>
    <xf numFmtId="2" fontId="3" fillId="5" borderId="49" xfId="3" applyNumberFormat="1" applyFont="1" applyFill="1" applyBorder="1" applyAlignment="1" applyProtection="1">
      <alignment horizontal="center"/>
    </xf>
    <xf numFmtId="0" fontId="3" fillId="0" borderId="43" xfId="3" applyNumberFormat="1" applyFont="1" applyFill="1" applyBorder="1" applyAlignment="1" applyProtection="1">
      <alignment horizontal="center"/>
    </xf>
    <xf numFmtId="0" fontId="3" fillId="0" borderId="43" xfId="3" applyNumberFormat="1" applyFont="1" applyFill="1" applyBorder="1" applyAlignment="1" applyProtection="1">
      <alignment horizontal="center" vertical="center"/>
    </xf>
    <xf numFmtId="0" fontId="3" fillId="0" borderId="14" xfId="3" applyNumberFormat="1" applyFont="1" applyFill="1" applyBorder="1" applyAlignment="1" applyProtection="1">
      <alignment horizontal="center"/>
    </xf>
    <xf numFmtId="0" fontId="3" fillId="0" borderId="14" xfId="3" applyNumberFormat="1" applyFont="1" applyFill="1" applyBorder="1" applyAlignment="1" applyProtection="1">
      <alignment horizontal="center" vertical="center"/>
    </xf>
    <xf numFmtId="0" fontId="3" fillId="0" borderId="48" xfId="3" applyNumberFormat="1" applyFont="1" applyFill="1" applyBorder="1" applyAlignment="1" applyProtection="1">
      <alignment horizontal="center"/>
    </xf>
    <xf numFmtId="0" fontId="3" fillId="0" borderId="48" xfId="3" applyNumberFormat="1" applyFont="1" applyFill="1" applyBorder="1" applyAlignment="1" applyProtection="1">
      <alignment horizontal="center" vertical="center"/>
    </xf>
    <xf numFmtId="0" fontId="4" fillId="4" borderId="0" xfId="0" applyFont="1" applyFill="1"/>
    <xf numFmtId="166" fontId="22" fillId="23" borderId="11" xfId="2" applyNumberFormat="1" applyFont="1" applyFill="1" applyBorder="1" applyAlignment="1" applyProtection="1">
      <alignment horizontal="center"/>
    </xf>
    <xf numFmtId="0" fontId="24" fillId="0" borderId="0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left"/>
    </xf>
    <xf numFmtId="0" fontId="3" fillId="0" borderId="45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left"/>
    </xf>
    <xf numFmtId="2" fontId="3" fillId="5" borderId="57" xfId="2" applyNumberFormat="1" applyFont="1" applyFill="1" applyBorder="1" applyAlignment="1" applyProtection="1">
      <alignment horizontal="center"/>
    </xf>
    <xf numFmtId="2" fontId="3" fillId="5" borderId="46" xfId="2" applyNumberFormat="1" applyFont="1" applyFill="1" applyBorder="1" applyAlignment="1" applyProtection="1">
      <alignment horizontal="center"/>
    </xf>
    <xf numFmtId="2" fontId="3" fillId="13" borderId="46" xfId="2" applyNumberFormat="1" applyFont="1" applyFill="1" applyBorder="1" applyAlignment="1" applyProtection="1">
      <alignment horizontal="center"/>
    </xf>
    <xf numFmtId="2" fontId="3" fillId="5" borderId="49" xfId="2" applyNumberFormat="1" applyFont="1" applyFill="1" applyBorder="1" applyAlignment="1" applyProtection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55" xfId="0" applyFont="1" applyFill="1" applyBorder="1" applyAlignment="1">
      <alignment horizontal="center"/>
    </xf>
    <xf numFmtId="0" fontId="4" fillId="0" borderId="55" xfId="0" applyFont="1" applyFill="1" applyBorder="1" applyAlignment="1">
      <alignment horizontal="left"/>
    </xf>
    <xf numFmtId="0" fontId="2" fillId="0" borderId="55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2" fontId="10" fillId="5" borderId="43" xfId="5" applyNumberFormat="1" applyFont="1" applyFill="1" applyBorder="1" applyAlignment="1" applyProtection="1">
      <alignment horizontal="center"/>
    </xf>
    <xf numFmtId="2" fontId="3" fillId="5" borderId="14" xfId="2" applyNumberFormat="1" applyFont="1" applyFill="1" applyBorder="1" applyAlignment="1" applyProtection="1">
      <alignment horizontal="center"/>
    </xf>
    <xf numFmtId="2" fontId="3" fillId="5" borderId="48" xfId="2" applyNumberFormat="1" applyFont="1" applyFill="1" applyBorder="1" applyAlignment="1" applyProtection="1">
      <alignment horizontal="center"/>
    </xf>
    <xf numFmtId="2" fontId="3" fillId="10" borderId="43" xfId="4" applyNumberFormat="1" applyFont="1" applyFill="1" applyBorder="1" applyAlignment="1" applyProtection="1">
      <alignment horizontal="center"/>
    </xf>
    <xf numFmtId="2" fontId="3" fillId="12" borderId="14" xfId="4" applyNumberFormat="1" applyFont="1" applyFill="1" applyBorder="1" applyAlignment="1" applyProtection="1">
      <alignment horizontal="center"/>
    </xf>
    <xf numFmtId="2" fontId="8" fillId="10" borderId="14" xfId="3" applyNumberFormat="1" applyFont="1" applyFill="1" applyBorder="1" applyAlignment="1" applyProtection="1">
      <alignment horizontal="center"/>
    </xf>
    <xf numFmtId="2" fontId="3" fillId="10" borderId="14" xfId="4" applyNumberFormat="1" applyFont="1" applyFill="1" applyBorder="1" applyAlignment="1" applyProtection="1">
      <alignment horizontal="center"/>
    </xf>
    <xf numFmtId="2" fontId="3" fillId="10" borderId="48" xfId="4" applyNumberFormat="1" applyFont="1" applyFill="1" applyBorder="1" applyAlignment="1" applyProtection="1">
      <alignment horizontal="center"/>
    </xf>
    <xf numFmtId="2" fontId="29" fillId="9" borderId="14" xfId="5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left"/>
    </xf>
    <xf numFmtId="0" fontId="28" fillId="0" borderId="0" xfId="3" applyNumberFormat="1" applyFont="1" applyFill="1" applyBorder="1" applyAlignment="1" applyProtection="1"/>
    <xf numFmtId="0" fontId="6" fillId="4" borderId="14" xfId="3" applyNumberFormat="1" applyFont="1" applyFill="1" applyBorder="1" applyAlignment="1" applyProtection="1">
      <alignment horizontal="left"/>
    </xf>
    <xf numFmtId="0" fontId="6" fillId="4" borderId="14" xfId="3" applyNumberFormat="1" applyFont="1" applyFill="1" applyBorder="1" applyAlignment="1" applyProtection="1">
      <alignment horizontal="center"/>
    </xf>
    <xf numFmtId="0" fontId="6" fillId="4" borderId="14" xfId="3" applyNumberFormat="1" applyFont="1" applyFill="1" applyBorder="1" applyAlignment="1" applyProtection="1">
      <alignment horizontal="center" vertical="center"/>
    </xf>
    <xf numFmtId="0" fontId="6" fillId="4" borderId="14" xfId="3" applyNumberFormat="1" applyFont="1" applyFill="1" applyBorder="1" applyAlignment="1" applyProtection="1"/>
    <xf numFmtId="166" fontId="3" fillId="6" borderId="14" xfId="4" applyNumberFormat="1" applyFont="1" applyFill="1" applyBorder="1" applyAlignment="1" applyProtection="1">
      <alignment horizontal="center"/>
    </xf>
    <xf numFmtId="0" fontId="3" fillId="4" borderId="42" xfId="3" applyNumberFormat="1" applyFont="1" applyFill="1" applyBorder="1" applyAlignment="1" applyProtection="1">
      <alignment horizontal="left"/>
    </xf>
    <xf numFmtId="0" fontId="6" fillId="4" borderId="43" xfId="3" applyNumberFormat="1" applyFont="1" applyFill="1" applyBorder="1" applyAlignment="1" applyProtection="1">
      <alignment horizontal="left"/>
    </xf>
    <xf numFmtId="0" fontId="6" fillId="4" borderId="43" xfId="3" applyNumberFormat="1" applyFont="1" applyFill="1" applyBorder="1" applyAlignment="1" applyProtection="1">
      <alignment horizontal="center"/>
    </xf>
    <xf numFmtId="0" fontId="6" fillId="4" borderId="43" xfId="3" applyNumberFormat="1" applyFont="1" applyFill="1" applyBorder="1" applyAlignment="1" applyProtection="1">
      <alignment horizontal="center" vertical="center"/>
    </xf>
    <xf numFmtId="0" fontId="6" fillId="4" borderId="43" xfId="3" applyNumberFormat="1" applyFont="1" applyFill="1" applyBorder="1" applyAlignment="1" applyProtection="1"/>
    <xf numFmtId="166" fontId="3" fillId="6" borderId="43" xfId="4" applyNumberFormat="1" applyFont="1" applyFill="1" applyBorder="1" applyAlignment="1" applyProtection="1">
      <alignment horizontal="center"/>
    </xf>
    <xf numFmtId="0" fontId="3" fillId="4" borderId="45" xfId="3" applyNumberFormat="1" applyFont="1" applyFill="1" applyBorder="1" applyAlignment="1" applyProtection="1">
      <alignment horizontal="left"/>
    </xf>
    <xf numFmtId="0" fontId="3" fillId="4" borderId="47" xfId="3" applyNumberFormat="1" applyFont="1" applyFill="1" applyBorder="1" applyAlignment="1" applyProtection="1">
      <alignment horizontal="left"/>
    </xf>
    <xf numFmtId="0" fontId="6" fillId="4" borderId="48" xfId="3" applyNumberFormat="1" applyFont="1" applyFill="1" applyBorder="1" applyAlignment="1" applyProtection="1">
      <alignment horizontal="left"/>
    </xf>
    <xf numFmtId="0" fontId="6" fillId="4" borderId="48" xfId="3" applyNumberFormat="1" applyFont="1" applyFill="1" applyBorder="1" applyAlignment="1" applyProtection="1">
      <alignment horizontal="center"/>
    </xf>
    <xf numFmtId="0" fontId="6" fillId="4" borderId="48" xfId="3" applyNumberFormat="1" applyFont="1" applyFill="1" applyBorder="1" applyAlignment="1" applyProtection="1">
      <alignment horizontal="center" vertical="center"/>
    </xf>
    <xf numFmtId="0" fontId="6" fillId="4" borderId="48" xfId="3" applyNumberFormat="1" applyFont="1" applyFill="1" applyBorder="1" applyAlignment="1" applyProtection="1"/>
    <xf numFmtId="166" fontId="3" fillId="6" borderId="48" xfId="4" applyNumberFormat="1" applyFont="1" applyFill="1" applyBorder="1" applyAlignment="1" applyProtection="1">
      <alignment horizontal="center"/>
    </xf>
    <xf numFmtId="166" fontId="3" fillId="5" borderId="14" xfId="3" applyNumberFormat="1" applyFont="1" applyFill="1" applyBorder="1" applyAlignment="1" applyProtection="1">
      <alignment horizontal="center"/>
    </xf>
    <xf numFmtId="166" fontId="3" fillId="5" borderId="43" xfId="3" applyNumberFormat="1" applyFont="1" applyFill="1" applyBorder="1" applyAlignment="1" applyProtection="1">
      <alignment horizontal="center"/>
    </xf>
    <xf numFmtId="166" fontId="3" fillId="5" borderId="48" xfId="3" applyNumberFormat="1" applyFont="1" applyFill="1" applyBorder="1" applyAlignment="1" applyProtection="1">
      <alignment horizontal="center"/>
    </xf>
    <xf numFmtId="0" fontId="24" fillId="0" borderId="21" xfId="0" applyFont="1" applyFill="1" applyBorder="1" applyAlignment="1">
      <alignment horizontal="center"/>
    </xf>
    <xf numFmtId="0" fontId="11" fillId="4" borderId="21" xfId="0" applyFont="1" applyFill="1" applyBorder="1"/>
    <xf numFmtId="0" fontId="7" fillId="4" borderId="0" xfId="0" applyFont="1" applyFill="1" applyBorder="1"/>
    <xf numFmtId="0" fontId="4" fillId="4" borderId="0" xfId="0" applyFont="1" applyFill="1" applyBorder="1"/>
    <xf numFmtId="0" fontId="33" fillId="0" borderId="0" xfId="0" applyFont="1"/>
    <xf numFmtId="0" fontId="6" fillId="4" borderId="0" xfId="0" applyFont="1" applyFill="1" applyBorder="1" applyAlignment="1">
      <alignment horizontal="left"/>
    </xf>
    <xf numFmtId="0" fontId="34" fillId="4" borderId="14" xfId="0" applyFont="1" applyFill="1" applyBorder="1" applyAlignment="1">
      <alignment horizontal="left"/>
    </xf>
    <xf numFmtId="2" fontId="3" fillId="5" borderId="43" xfId="2" applyNumberFormat="1" applyFont="1" applyFill="1" applyBorder="1" applyAlignment="1" applyProtection="1">
      <alignment horizontal="center"/>
    </xf>
    <xf numFmtId="0" fontId="6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2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right"/>
    </xf>
    <xf numFmtId="0" fontId="6" fillId="0" borderId="43" xfId="0" applyFont="1" applyFill="1" applyBorder="1"/>
    <xf numFmtId="0" fontId="18" fillId="4" borderId="21" xfId="0" applyFont="1" applyFill="1" applyBorder="1" applyAlignment="1">
      <alignment horizontal="center"/>
    </xf>
    <xf numFmtId="0" fontId="18" fillId="4" borderId="0" xfId="0" applyFont="1" applyFill="1" applyBorder="1" applyAlignment="1">
      <alignment horizontal="center"/>
    </xf>
    <xf numFmtId="0" fontId="18" fillId="4" borderId="58" xfId="0" applyFont="1" applyFill="1" applyBorder="1" applyAlignment="1">
      <alignment horizontal="center"/>
    </xf>
    <xf numFmtId="0" fontId="3" fillId="5" borderId="47" xfId="0" applyFont="1" applyFill="1" applyBorder="1"/>
    <xf numFmtId="2" fontId="12" fillId="5" borderId="48" xfId="1" applyNumberFormat="1" applyFont="1" applyFill="1" applyBorder="1" applyAlignment="1" applyProtection="1">
      <alignment horizontal="center"/>
    </xf>
    <xf numFmtId="0" fontId="6" fillId="4" borderId="15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left"/>
    </xf>
    <xf numFmtId="0" fontId="6" fillId="0" borderId="10" xfId="0" applyFont="1" applyFill="1" applyBorder="1"/>
    <xf numFmtId="0" fontId="6" fillId="0" borderId="11" xfId="0" applyFont="1" applyFill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35" fillId="5" borderId="10" xfId="3" applyNumberFormat="1" applyFont="1" applyFill="1" applyBorder="1" applyAlignment="1" applyProtection="1">
      <alignment horizontal="left"/>
    </xf>
    <xf numFmtId="0" fontId="35" fillId="5" borderId="11" xfId="3" applyNumberFormat="1" applyFont="1" applyFill="1" applyBorder="1" applyAlignment="1" applyProtection="1">
      <alignment horizontal="left"/>
    </xf>
    <xf numFmtId="0" fontId="6" fillId="3" borderId="10" xfId="3" applyNumberFormat="1" applyFont="1" applyFill="1" applyBorder="1" applyAlignment="1" applyProtection="1">
      <alignment horizontal="left"/>
    </xf>
    <xf numFmtId="0" fontId="6" fillId="3" borderId="13" xfId="3" applyNumberFormat="1" applyFont="1" applyFill="1" applyBorder="1" applyAlignment="1" applyProtection="1">
      <alignment horizontal="left"/>
    </xf>
    <xf numFmtId="0" fontId="35" fillId="17" borderId="11" xfId="7" applyNumberFormat="1" applyFont="1" applyFill="1" applyBorder="1" applyAlignment="1" applyProtection="1">
      <alignment horizontal="center" vertical="center"/>
    </xf>
    <xf numFmtId="0" fontId="35" fillId="17" borderId="38" xfId="7" applyNumberFormat="1" applyFont="1" applyFill="1" applyBorder="1" applyAlignment="1" applyProtection="1">
      <alignment horizontal="center" vertical="center"/>
    </xf>
    <xf numFmtId="0" fontId="35" fillId="17" borderId="14" xfId="7" applyNumberFormat="1" applyFont="1" applyFill="1" applyBorder="1" applyAlignment="1" applyProtection="1">
      <alignment horizontal="center"/>
    </xf>
    <xf numFmtId="0" fontId="7" fillId="4" borderId="21" xfId="0" applyFont="1" applyFill="1" applyBorder="1"/>
    <xf numFmtId="0" fontId="6" fillId="0" borderId="1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 vertical="center"/>
    </xf>
    <xf numFmtId="2" fontId="4" fillId="4" borderId="0" xfId="0" applyNumberFormat="1" applyFont="1" applyFill="1"/>
    <xf numFmtId="0" fontId="6" fillId="0" borderId="43" xfId="0" applyFont="1" applyFill="1" applyBorder="1" applyAlignment="1">
      <alignment horizontal="right"/>
    </xf>
    <xf numFmtId="0" fontId="6" fillId="0" borderId="48" xfId="0" applyFont="1" applyFill="1" applyBorder="1" applyAlignment="1">
      <alignment horizontal="right"/>
    </xf>
    <xf numFmtId="2" fontId="3" fillId="23" borderId="45" xfId="2" applyNumberFormat="1" applyFont="1" applyFill="1" applyBorder="1" applyAlignment="1" applyProtection="1">
      <alignment horizontal="left"/>
    </xf>
    <xf numFmtId="2" fontId="4" fillId="4" borderId="29" xfId="0" applyNumberFormat="1" applyFont="1" applyFill="1" applyBorder="1" applyAlignment="1">
      <alignment horizontal="center"/>
    </xf>
    <xf numFmtId="0" fontId="19" fillId="4" borderId="29" xfId="0" applyFont="1" applyFill="1" applyBorder="1"/>
    <xf numFmtId="0" fontId="19" fillId="4" borderId="30" xfId="0" applyFont="1" applyFill="1" applyBorder="1"/>
    <xf numFmtId="0" fontId="13" fillId="4" borderId="55" xfId="0" applyFont="1" applyFill="1" applyBorder="1" applyAlignment="1">
      <alignment horizontal="center" vertical="center"/>
    </xf>
    <xf numFmtId="0" fontId="13" fillId="4" borderId="56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vertical="center"/>
    </xf>
    <xf numFmtId="0" fontId="2" fillId="4" borderId="56" xfId="0" applyFont="1" applyFill="1" applyBorder="1" applyAlignment="1">
      <alignment horizontal="center"/>
    </xf>
    <xf numFmtId="0" fontId="24" fillId="4" borderId="0" xfId="0" applyFont="1" applyFill="1" applyBorder="1" applyAlignment="1">
      <alignment vertical="center"/>
    </xf>
    <xf numFmtId="0" fontId="24" fillId="4" borderId="58" xfId="0" applyFont="1" applyFill="1" applyBorder="1" applyAlignment="1">
      <alignment horizontal="center"/>
    </xf>
    <xf numFmtId="166" fontId="22" fillId="5" borderId="11" xfId="2" applyNumberFormat="1" applyFont="1" applyFill="1" applyBorder="1" applyAlignment="1" applyProtection="1">
      <alignment horizontal="center"/>
    </xf>
    <xf numFmtId="0" fontId="2" fillId="4" borderId="27" xfId="0" applyFont="1" applyFill="1" applyBorder="1" applyAlignment="1">
      <alignment vertical="center"/>
    </xf>
    <xf numFmtId="0" fontId="2" fillId="4" borderId="28" xfId="0" applyFont="1" applyFill="1" applyBorder="1" applyAlignment="1">
      <alignment horizontal="center"/>
    </xf>
    <xf numFmtId="0" fontId="12" fillId="4" borderId="0" xfId="0" applyFont="1" applyFill="1" applyAlignment="1">
      <alignment horizontal="left"/>
    </xf>
    <xf numFmtId="2" fontId="12" fillId="4" borderId="0" xfId="0" applyNumberFormat="1" applyFont="1" applyFill="1" applyAlignment="1">
      <alignment horizontal="center"/>
    </xf>
    <xf numFmtId="0" fontId="13" fillId="4" borderId="0" xfId="0" applyFont="1" applyFill="1" applyAlignment="1">
      <alignment horizontal="left"/>
    </xf>
    <xf numFmtId="0" fontId="39" fillId="4" borderId="0" xfId="11" applyFont="1" applyFill="1" applyAlignment="1">
      <alignment horizontal="left"/>
    </xf>
    <xf numFmtId="2" fontId="13" fillId="4" borderId="0" xfId="0" applyNumberFormat="1" applyFont="1" applyFill="1" applyAlignment="1">
      <alignment horizontal="left"/>
    </xf>
    <xf numFmtId="2" fontId="12" fillId="4" borderId="0" xfId="0" applyNumberFormat="1" applyFont="1" applyFill="1" applyAlignment="1">
      <alignment horizontal="left"/>
    </xf>
    <xf numFmtId="0" fontId="32" fillId="4" borderId="0" xfId="0" applyFont="1" applyFill="1"/>
    <xf numFmtId="2" fontId="12" fillId="4" borderId="0" xfId="0" applyNumberFormat="1" applyFont="1" applyFill="1"/>
    <xf numFmtId="2" fontId="7" fillId="4" borderId="10" xfId="0" applyNumberFormat="1" applyFont="1" applyFill="1" applyBorder="1" applyAlignment="1">
      <alignment horizontal="center" vertical="center"/>
    </xf>
    <xf numFmtId="2" fontId="7" fillId="5" borderId="61" xfId="2" applyNumberFormat="1" applyFont="1" applyFill="1" applyBorder="1" applyAlignment="1" applyProtection="1">
      <alignment horizontal="center"/>
    </xf>
    <xf numFmtId="0" fontId="2" fillId="4" borderId="50" xfId="0" applyNumberFormat="1" applyFont="1" applyFill="1" applyBorder="1" applyAlignment="1">
      <alignment horizontal="center"/>
    </xf>
    <xf numFmtId="0" fontId="2" fillId="4" borderId="51" xfId="0" applyNumberFormat="1" applyFont="1" applyFill="1" applyBorder="1" applyAlignment="1">
      <alignment horizontal="center"/>
    </xf>
    <xf numFmtId="0" fontId="2" fillId="4" borderId="51" xfId="0" applyNumberFormat="1" applyFont="1" applyFill="1" applyBorder="1" applyAlignment="1">
      <alignment horizontal="center" vertical="center"/>
    </xf>
    <xf numFmtId="0" fontId="2" fillId="5" borderId="9" xfId="2" applyNumberFormat="1" applyFont="1" applyFill="1" applyBorder="1" applyAlignment="1" applyProtection="1">
      <alignment horizontal="center"/>
    </xf>
    <xf numFmtId="2" fontId="7" fillId="4" borderId="38" xfId="0" applyNumberFormat="1" applyFont="1" applyFill="1" applyBorder="1" applyAlignment="1">
      <alignment horizontal="center" vertical="center"/>
    </xf>
    <xf numFmtId="2" fontId="7" fillId="5" borderId="39" xfId="2" applyNumberFormat="1" applyFont="1" applyFill="1" applyBorder="1" applyAlignment="1" applyProtection="1">
      <alignment horizontal="center"/>
    </xf>
    <xf numFmtId="0" fontId="3" fillId="4" borderId="37" xfId="0" applyFont="1" applyFill="1" applyBorder="1" applyAlignment="1">
      <alignment wrapText="1"/>
    </xf>
    <xf numFmtId="2" fontId="7" fillId="6" borderId="38" xfId="5" applyNumberFormat="1" applyFont="1" applyFill="1" applyBorder="1" applyAlignment="1" applyProtection="1">
      <alignment horizontal="center"/>
    </xf>
    <xf numFmtId="2" fontId="7" fillId="9" borderId="39" xfId="5" applyNumberFormat="1" applyFont="1" applyFill="1" applyBorder="1" applyAlignment="1" applyProtection="1">
      <alignment horizontal="center"/>
    </xf>
    <xf numFmtId="2" fontId="12" fillId="5" borderId="38" xfId="1" applyNumberFormat="1" applyFont="1" applyFill="1" applyBorder="1" applyAlignment="1" applyProtection="1">
      <alignment horizontal="center"/>
    </xf>
    <xf numFmtId="0" fontId="3" fillId="5" borderId="37" xfId="3" applyNumberFormat="1" applyFont="1" applyFill="1" applyBorder="1" applyAlignment="1" applyProtection="1"/>
    <xf numFmtId="0" fontId="35" fillId="5" borderId="38" xfId="3" applyNumberFormat="1" applyFont="1" applyFill="1" applyBorder="1" applyAlignment="1" applyProtection="1">
      <alignment horizontal="left"/>
    </xf>
    <xf numFmtId="0" fontId="8" fillId="5" borderId="38" xfId="3" applyNumberFormat="1" applyFont="1" applyFill="1" applyBorder="1" applyAlignment="1" applyProtection="1">
      <alignment horizontal="center"/>
    </xf>
    <xf numFmtId="0" fontId="3" fillId="5" borderId="38" xfId="10" applyNumberFormat="1" applyFont="1" applyFill="1" applyBorder="1" applyAlignment="1" applyProtection="1">
      <alignment horizontal="center" vertical="center"/>
    </xf>
    <xf numFmtId="0" fontId="3" fillId="5" borderId="38" xfId="10" applyNumberFormat="1" applyFont="1" applyFill="1" applyBorder="1" applyAlignment="1" applyProtection="1">
      <alignment horizontal="center"/>
    </xf>
    <xf numFmtId="2" fontId="12" fillId="5" borderId="38" xfId="10" applyNumberFormat="1" applyFont="1" applyFill="1" applyBorder="1" applyAlignment="1" applyProtection="1">
      <alignment horizontal="center"/>
    </xf>
    <xf numFmtId="2" fontId="12" fillId="5" borderId="39" xfId="10" applyNumberFormat="1" applyFont="1" applyFill="1" applyBorder="1" applyAlignment="1" applyProtection="1">
      <alignment horizontal="center"/>
    </xf>
    <xf numFmtId="168" fontId="3" fillId="5" borderId="32" xfId="1" applyNumberFormat="1" applyFont="1" applyFill="1" applyBorder="1" applyAlignment="1" applyProtection="1">
      <alignment horizontal="center"/>
    </xf>
    <xf numFmtId="168" fontId="3" fillId="5" borderId="11" xfId="1" applyNumberFormat="1" applyFont="1" applyFill="1" applyBorder="1" applyAlignment="1" applyProtection="1">
      <alignment horizontal="center"/>
    </xf>
    <xf numFmtId="168" fontId="3" fillId="5" borderId="38" xfId="1" applyNumberFormat="1" applyFont="1" applyFill="1" applyBorder="1" applyAlignment="1" applyProtection="1">
      <alignment horizontal="center"/>
    </xf>
    <xf numFmtId="0" fontId="3" fillId="4" borderId="70" xfId="0" applyFont="1" applyFill="1" applyBorder="1"/>
    <xf numFmtId="0" fontId="3" fillId="4" borderId="71" xfId="0" applyFont="1" applyFill="1" applyBorder="1"/>
    <xf numFmtId="0" fontId="3" fillId="6" borderId="71" xfId="0" applyFont="1" applyFill="1" applyBorder="1"/>
    <xf numFmtId="0" fontId="3" fillId="17" borderId="71" xfId="7" applyNumberFormat="1" applyFont="1" applyFill="1" applyBorder="1" applyAlignment="1" applyProtection="1"/>
    <xf numFmtId="0" fontId="3" fillId="17" borderId="72" xfId="7" applyNumberFormat="1" applyFont="1" applyFill="1" applyBorder="1" applyAlignment="1" applyProtection="1"/>
    <xf numFmtId="0" fontId="35" fillId="17" borderId="15" xfId="7" applyNumberFormat="1" applyFont="1" applyFill="1" applyBorder="1" applyAlignment="1" applyProtection="1">
      <alignment horizontal="center"/>
    </xf>
    <xf numFmtId="0" fontId="35" fillId="17" borderId="60" xfId="7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>
      <alignment horizontal="center"/>
    </xf>
    <xf numFmtId="0" fontId="6" fillId="4" borderId="73" xfId="0" applyFont="1" applyFill="1" applyBorder="1" applyAlignment="1">
      <alignment horizontal="left"/>
    </xf>
    <xf numFmtId="0" fontId="6" fillId="4" borderId="74" xfId="0" applyFont="1" applyFill="1" applyBorder="1" applyAlignment="1">
      <alignment horizontal="left"/>
    </xf>
    <xf numFmtId="0" fontId="6" fillId="4" borderId="75" xfId="0" applyFont="1" applyFill="1" applyBorder="1" applyAlignment="1">
      <alignment horizontal="left"/>
    </xf>
    <xf numFmtId="0" fontId="40" fillId="4" borderId="14" xfId="0" applyFont="1" applyFill="1" applyBorder="1" applyAlignment="1">
      <alignment horizontal="center"/>
    </xf>
    <xf numFmtId="0" fontId="2" fillId="4" borderId="76" xfId="0" applyNumberFormat="1" applyFont="1" applyFill="1" applyBorder="1" applyAlignment="1">
      <alignment horizontal="center"/>
    </xf>
    <xf numFmtId="0" fontId="3" fillId="5" borderId="77" xfId="0" applyFont="1" applyFill="1" applyBorder="1"/>
    <xf numFmtId="0" fontId="3" fillId="5" borderId="78" xfId="0" applyFont="1" applyFill="1" applyBorder="1"/>
    <xf numFmtId="0" fontId="3" fillId="5" borderId="78" xfId="0" applyFont="1" applyFill="1" applyBorder="1" applyAlignment="1">
      <alignment wrapText="1"/>
    </xf>
    <xf numFmtId="0" fontId="6" fillId="5" borderId="79" xfId="0" applyFont="1" applyFill="1" applyBorder="1" applyAlignment="1">
      <alignment horizontal="center"/>
    </xf>
    <xf numFmtId="0" fontId="6" fillId="5" borderId="80" xfId="0" applyFont="1" applyFill="1" applyBorder="1" applyAlignment="1">
      <alignment horizontal="center"/>
    </xf>
    <xf numFmtId="0" fontId="6" fillId="5" borderId="80" xfId="0" applyFont="1" applyFill="1" applyBorder="1" applyAlignment="1">
      <alignment horizontal="center" wrapText="1"/>
    </xf>
    <xf numFmtId="0" fontId="6" fillId="5" borderId="73" xfId="0" applyFont="1" applyFill="1" applyBorder="1" applyAlignment="1">
      <alignment horizontal="left" wrapText="1"/>
    </xf>
    <xf numFmtId="0" fontId="6" fillId="5" borderId="74" xfId="0" applyFont="1" applyFill="1" applyBorder="1" applyAlignment="1">
      <alignment horizontal="left" wrapText="1"/>
    </xf>
    <xf numFmtId="0" fontId="6" fillId="5" borderId="75" xfId="0" applyFont="1" applyFill="1" applyBorder="1" applyAlignment="1">
      <alignment horizontal="left" wrapText="1"/>
    </xf>
    <xf numFmtId="168" fontId="3" fillId="23" borderId="32" xfId="2" applyNumberFormat="1" applyFont="1" applyFill="1" applyBorder="1" applyAlignment="1" applyProtection="1">
      <alignment horizontal="center"/>
    </xf>
    <xf numFmtId="168" fontId="3" fillId="23" borderId="38" xfId="2" applyNumberFormat="1" applyFont="1" applyFill="1" applyBorder="1" applyAlignment="1" applyProtection="1">
      <alignment horizontal="center"/>
    </xf>
    <xf numFmtId="168" fontId="6" fillId="23" borderId="43" xfId="2" applyNumberFormat="1" applyFont="1" applyFill="1" applyBorder="1" applyAlignment="1" applyProtection="1">
      <alignment horizontal="center"/>
    </xf>
    <xf numFmtId="0" fontId="3" fillId="4" borderId="21" xfId="0" applyFont="1" applyFill="1" applyBorder="1" applyAlignment="1">
      <alignment horizontal="left"/>
    </xf>
    <xf numFmtId="0" fontId="2" fillId="4" borderId="81" xfId="0" applyNumberFormat="1" applyFont="1" applyFill="1" applyBorder="1" applyAlignment="1">
      <alignment horizontal="center"/>
    </xf>
    <xf numFmtId="0" fontId="2" fillId="4" borderId="82" xfId="0" applyNumberFormat="1" applyFont="1" applyFill="1" applyBorder="1" applyAlignment="1">
      <alignment horizontal="center"/>
    </xf>
    <xf numFmtId="0" fontId="2" fillId="4" borderId="82" xfId="0" applyNumberFormat="1" applyFont="1" applyFill="1" applyBorder="1" applyAlignment="1">
      <alignment horizontal="center" vertical="center"/>
    </xf>
    <xf numFmtId="0" fontId="2" fillId="5" borderId="83" xfId="2" applyNumberFormat="1" applyFont="1" applyFill="1" applyBorder="1" applyAlignment="1" applyProtection="1">
      <alignment horizontal="center"/>
    </xf>
    <xf numFmtId="2" fontId="12" fillId="6" borderId="0" xfId="2" applyNumberFormat="1" applyFont="1" applyFill="1" applyBorder="1" applyAlignment="1" applyProtection="1">
      <alignment horizontal="center"/>
    </xf>
    <xf numFmtId="2" fontId="12" fillId="5" borderId="58" xfId="2" applyNumberFormat="1" applyFont="1" applyFill="1" applyBorder="1" applyAlignment="1" applyProtection="1">
      <alignment horizontal="center"/>
    </xf>
    <xf numFmtId="0" fontId="31" fillId="4" borderId="43" xfId="0" applyFont="1" applyFill="1" applyBorder="1" applyAlignment="1">
      <alignment horizontal="center" wrapText="1"/>
    </xf>
    <xf numFmtId="0" fontId="31" fillId="4" borderId="57" xfId="0" applyFont="1" applyFill="1" applyBorder="1" applyAlignment="1">
      <alignment horizontal="center" wrapText="1"/>
    </xf>
    <xf numFmtId="0" fontId="31" fillId="4" borderId="48" xfId="0" applyFont="1" applyFill="1" applyBorder="1" applyAlignment="1">
      <alignment horizontal="center" wrapText="1"/>
    </xf>
    <xf numFmtId="0" fontId="31" fillId="4" borderId="49" xfId="0" applyFont="1" applyFill="1" applyBorder="1" applyAlignment="1">
      <alignment horizontal="center" wrapText="1"/>
    </xf>
    <xf numFmtId="0" fontId="2" fillId="4" borderId="65" xfId="0" applyFont="1" applyFill="1" applyBorder="1" applyAlignment="1">
      <alignment horizontal="center" vertical="center"/>
    </xf>
    <xf numFmtId="0" fontId="2" fillId="4" borderId="6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/>
    </xf>
    <xf numFmtId="0" fontId="4" fillId="0" borderId="29" xfId="0" applyFont="1" applyFill="1" applyBorder="1" applyAlignment="1">
      <alignment horizontal="left"/>
    </xf>
    <xf numFmtId="0" fontId="4" fillId="4" borderId="27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55" xfId="0" applyFont="1" applyFill="1" applyBorder="1" applyAlignment="1">
      <alignment horizontal="center" vertical="center"/>
    </xf>
    <xf numFmtId="0" fontId="4" fillId="4" borderId="56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/>
    </xf>
    <xf numFmtId="0" fontId="4" fillId="4" borderId="27" xfId="0" applyFont="1" applyFill="1" applyBorder="1" applyAlignment="1">
      <alignment horizontal="center"/>
    </xf>
    <xf numFmtId="0" fontId="4" fillId="4" borderId="28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36" fillId="4" borderId="0" xfId="0" applyFont="1" applyFill="1" applyAlignment="1"/>
    <xf numFmtId="0" fontId="20" fillId="4" borderId="0" xfId="0" applyFont="1" applyFill="1" applyAlignment="1">
      <alignment horizontal="center"/>
    </xf>
    <xf numFmtId="0" fontId="27" fillId="0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/>
    </xf>
    <xf numFmtId="0" fontId="12" fillId="4" borderId="0" xfId="0" applyFont="1" applyFill="1" applyAlignment="1">
      <alignment horizontal="left"/>
    </xf>
    <xf numFmtId="0" fontId="13" fillId="4" borderId="20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44" fontId="4" fillId="4" borderId="16" xfId="1" applyFont="1" applyFill="1" applyBorder="1" applyAlignment="1" applyProtection="1">
      <alignment horizontal="center" vertical="center"/>
    </xf>
    <xf numFmtId="44" fontId="4" fillId="4" borderId="29" xfId="1" applyFont="1" applyFill="1" applyBorder="1" applyAlignment="1" applyProtection="1">
      <alignment horizontal="center" vertical="center"/>
    </xf>
    <xf numFmtId="44" fontId="4" fillId="4" borderId="30" xfId="1" applyFont="1" applyFill="1" applyBorder="1" applyAlignment="1" applyProtection="1">
      <alignment horizontal="center" vertical="center"/>
    </xf>
    <xf numFmtId="0" fontId="4" fillId="4" borderId="50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2" xfId="0" applyFont="1" applyFill="1" applyBorder="1" applyAlignment="1">
      <alignment horizontal="center" vertical="center"/>
    </xf>
    <xf numFmtId="0" fontId="4" fillId="4" borderId="53" xfId="0" applyFont="1" applyFill="1" applyBorder="1" applyAlignment="1">
      <alignment horizontal="center" vertical="center"/>
    </xf>
    <xf numFmtId="0" fontId="4" fillId="4" borderId="54" xfId="0" applyFont="1" applyFill="1" applyBorder="1" applyAlignment="1">
      <alignment horizontal="center" vertical="center"/>
    </xf>
  </cellXfs>
  <cellStyles count="12">
    <cellStyle name="Excel_BuiltIn_Акцент4" xfId="8" xr:uid="{00000000-0005-0000-0000-000000000000}"/>
    <cellStyle name="Excel_BuiltIn_Акцент5" xfId="6" xr:uid="{00000000-0005-0000-0000-000001000000}"/>
    <cellStyle name="Excel_BuiltIn_Акцент5 2" xfId="9" xr:uid="{00000000-0005-0000-0000-000002000000}"/>
    <cellStyle name="Excel_BuiltIn_Акцент6" xfId="5" xr:uid="{00000000-0005-0000-0000-000003000000}"/>
    <cellStyle name="Excel_BuiltIn_Нейтральный 1" xfId="10" xr:uid="{00000000-0005-0000-0000-000004000000}"/>
    <cellStyle name="Excel_BuiltIn_Плохой" xfId="7" xr:uid="{00000000-0005-0000-0000-000005000000}"/>
    <cellStyle name="Excel_BuiltIn_Хороший 1" xfId="4" xr:uid="{00000000-0005-0000-0000-000006000000}"/>
    <cellStyle name="Excel_BuiltIn_Хороший 2" xfId="3" xr:uid="{00000000-0005-0000-0000-000007000000}"/>
    <cellStyle name="Гиперссылка" xfId="11" builtinId="8"/>
    <cellStyle name="Денежный" xfId="1" builtinId="4"/>
    <cellStyle name="Денежный [0]" xfId="2" builtinId="7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etonoao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03"/>
  <sheetViews>
    <sheetView tabSelected="1" topLeftCell="A496" workbookViewId="0">
      <selection activeCell="A277" sqref="A277:H320"/>
    </sheetView>
  </sheetViews>
  <sheetFormatPr defaultRowHeight="15" x14ac:dyDescent="0.25"/>
  <cols>
    <col min="1" max="1" width="18.5703125" style="48" customWidth="1"/>
    <col min="2" max="2" width="11.42578125" style="48" customWidth="1"/>
    <col min="3" max="3" width="4.28515625" style="48" customWidth="1"/>
    <col min="4" max="4" width="4.85546875" style="48" customWidth="1"/>
    <col min="5" max="5" width="17.85546875" style="48" customWidth="1"/>
    <col min="6" max="6" width="5.42578125" style="48" customWidth="1"/>
    <col min="7" max="7" width="10.7109375" style="138" customWidth="1"/>
    <col min="8" max="8" width="10.140625" style="112" customWidth="1"/>
  </cols>
  <sheetData>
    <row r="1" spans="1:8" x14ac:dyDescent="0.25">
      <c r="A1" s="651" t="s">
        <v>852</v>
      </c>
      <c r="B1" s="651"/>
      <c r="C1" s="651"/>
      <c r="D1" s="651"/>
      <c r="E1" s="651"/>
      <c r="F1" s="651"/>
      <c r="G1" s="651"/>
      <c r="H1" s="651"/>
    </row>
    <row r="2" spans="1:8" ht="60.75" x14ac:dyDescent="0.8">
      <c r="A2" s="650" t="s">
        <v>833</v>
      </c>
      <c r="B2" s="650"/>
      <c r="C2" s="650"/>
      <c r="D2" s="650"/>
      <c r="E2" s="650"/>
      <c r="F2" s="650"/>
      <c r="G2" s="650"/>
      <c r="H2" s="650"/>
    </row>
    <row r="3" spans="1:8" x14ac:dyDescent="0.25">
      <c r="E3" s="48" t="s">
        <v>835</v>
      </c>
    </row>
    <row r="4" spans="1:8" x14ac:dyDescent="0.25">
      <c r="E4" s="48" t="s">
        <v>831</v>
      </c>
    </row>
    <row r="5" spans="1:8" x14ac:dyDescent="0.25">
      <c r="E5" s="48" t="s">
        <v>832</v>
      </c>
    </row>
    <row r="6" spans="1:8" x14ac:dyDescent="0.25">
      <c r="E6" s="546"/>
      <c r="G6" s="546" t="s">
        <v>834</v>
      </c>
      <c r="H6" s="546"/>
    </row>
    <row r="7" spans="1:8" ht="15" customHeight="1" x14ac:dyDescent="0.3">
      <c r="A7" s="653"/>
      <c r="B7" s="653"/>
      <c r="C7" s="653"/>
      <c r="D7" s="653"/>
      <c r="E7" s="653"/>
      <c r="F7" s="653"/>
      <c r="G7" s="653"/>
      <c r="H7" s="653"/>
    </row>
    <row r="8" spans="1:8" ht="15" customHeight="1" x14ac:dyDescent="0.25">
      <c r="A8" s="654" t="s">
        <v>844</v>
      </c>
      <c r="B8" s="654"/>
      <c r="C8" s="654"/>
      <c r="D8" s="654"/>
      <c r="E8" s="654"/>
      <c r="F8" s="654"/>
      <c r="G8" s="654"/>
      <c r="H8" s="654"/>
    </row>
    <row r="9" spans="1:8" ht="15" customHeight="1" x14ac:dyDescent="0.25">
      <c r="A9" s="562" t="s">
        <v>845</v>
      </c>
      <c r="B9" s="562"/>
      <c r="C9" s="562"/>
      <c r="D9" s="562"/>
      <c r="E9" s="562"/>
      <c r="F9" s="562"/>
      <c r="G9" s="562"/>
      <c r="H9" s="562"/>
    </row>
    <row r="10" spans="1:8" ht="15" customHeight="1" x14ac:dyDescent="0.25">
      <c r="A10" s="562" t="s">
        <v>846</v>
      </c>
      <c r="B10" s="562"/>
      <c r="C10" s="564"/>
      <c r="D10" s="564"/>
      <c r="E10" s="564"/>
      <c r="F10" s="564"/>
      <c r="G10" s="564"/>
      <c r="H10" s="564"/>
    </row>
    <row r="11" spans="1:8" ht="15" customHeight="1" x14ac:dyDescent="0.25">
      <c r="A11" s="562" t="s">
        <v>848</v>
      </c>
      <c r="B11" s="562"/>
      <c r="C11" s="562"/>
      <c r="D11" s="562"/>
      <c r="E11" s="564"/>
      <c r="F11" s="564"/>
      <c r="G11" s="564"/>
      <c r="H11" s="564"/>
    </row>
    <row r="12" spans="1:8" ht="15" customHeight="1" x14ac:dyDescent="0.25">
      <c r="A12" s="562" t="s">
        <v>847</v>
      </c>
      <c r="B12" s="562"/>
      <c r="C12" s="562"/>
      <c r="D12" s="564"/>
      <c r="E12" s="564"/>
      <c r="F12" s="564"/>
      <c r="G12" s="564"/>
      <c r="H12" s="564"/>
    </row>
    <row r="13" spans="1:8" ht="15" customHeight="1" x14ac:dyDescent="0.25">
      <c r="A13" s="562" t="s">
        <v>849</v>
      </c>
      <c r="B13" s="562"/>
      <c r="C13" s="562"/>
      <c r="D13" s="564"/>
      <c r="E13" s="564"/>
      <c r="F13" s="564"/>
      <c r="G13" s="564"/>
      <c r="H13" s="564"/>
    </row>
    <row r="14" spans="1:8" x14ac:dyDescent="0.25">
      <c r="A14" s="565" t="s">
        <v>850</v>
      </c>
      <c r="B14" s="562"/>
      <c r="C14" s="562"/>
      <c r="D14" s="562"/>
      <c r="E14" s="562"/>
      <c r="F14" s="562"/>
      <c r="G14" s="566"/>
      <c r="H14" s="567"/>
    </row>
    <row r="15" spans="1:8" ht="15.75" thickBot="1" x14ac:dyDescent="0.3">
      <c r="A15" s="568" t="s">
        <v>851</v>
      </c>
      <c r="B15" s="568"/>
      <c r="C15" s="568"/>
      <c r="D15" s="568"/>
      <c r="E15" s="568"/>
      <c r="F15" s="568"/>
      <c r="G15" s="569"/>
      <c r="H15" s="563"/>
    </row>
    <row r="16" spans="1:8" ht="56.25" x14ac:dyDescent="0.25">
      <c r="A16" s="16"/>
      <c r="B16" s="16"/>
      <c r="C16" s="17" t="s">
        <v>0</v>
      </c>
      <c r="D16" s="17" t="s">
        <v>1</v>
      </c>
      <c r="E16" s="18" t="s">
        <v>2</v>
      </c>
      <c r="F16" s="49" t="s">
        <v>235</v>
      </c>
      <c r="G16" s="139" t="s">
        <v>232</v>
      </c>
      <c r="H16" s="113" t="s">
        <v>236</v>
      </c>
    </row>
    <row r="17" spans="1:8" x14ac:dyDescent="0.25">
      <c r="A17" s="20" t="s">
        <v>3</v>
      </c>
      <c r="B17" s="20" t="s">
        <v>4</v>
      </c>
      <c r="C17" s="21"/>
      <c r="D17" s="21"/>
      <c r="E17" s="19"/>
      <c r="F17" s="50"/>
      <c r="G17" s="140" t="s">
        <v>233</v>
      </c>
      <c r="H17" s="114" t="s">
        <v>237</v>
      </c>
    </row>
    <row r="18" spans="1:8" x14ac:dyDescent="0.25">
      <c r="A18" s="20" t="s">
        <v>5</v>
      </c>
      <c r="B18" s="20" t="s">
        <v>6</v>
      </c>
      <c r="C18" s="21"/>
      <c r="D18" s="21"/>
      <c r="E18" s="19"/>
      <c r="F18" s="50"/>
      <c r="G18" s="140" t="s">
        <v>234</v>
      </c>
      <c r="H18" s="114" t="s">
        <v>234</v>
      </c>
    </row>
    <row r="19" spans="1:8" ht="15.75" thickBot="1" x14ac:dyDescent="0.3">
      <c r="A19" s="22"/>
      <c r="B19" s="22"/>
      <c r="C19" s="23"/>
      <c r="D19" s="23"/>
      <c r="E19" s="19"/>
      <c r="F19" s="51"/>
      <c r="G19" s="141"/>
      <c r="H19" s="115"/>
    </row>
    <row r="20" spans="1:8" ht="15.75" thickBot="1" x14ac:dyDescent="0.3">
      <c r="A20" s="53">
        <v>1</v>
      </c>
      <c r="B20" s="54">
        <v>2</v>
      </c>
      <c r="C20" s="55">
        <v>3</v>
      </c>
      <c r="D20" s="55">
        <v>4</v>
      </c>
      <c r="E20" s="56">
        <v>5</v>
      </c>
      <c r="F20" s="57">
        <v>6</v>
      </c>
      <c r="G20" s="162">
        <v>7</v>
      </c>
      <c r="H20" s="128">
        <v>8</v>
      </c>
    </row>
    <row r="21" spans="1:8" s="52" customFormat="1" x14ac:dyDescent="0.25">
      <c r="A21" s="655" t="s">
        <v>7</v>
      </c>
      <c r="B21" s="656"/>
      <c r="C21" s="656"/>
      <c r="D21" s="656"/>
      <c r="E21" s="656"/>
      <c r="F21" s="656"/>
      <c r="G21" s="656"/>
      <c r="H21" s="657"/>
    </row>
    <row r="22" spans="1:8" s="52" customFormat="1" ht="15.75" thickBot="1" x14ac:dyDescent="0.3">
      <c r="A22" s="59"/>
      <c r="B22" s="648" t="s">
        <v>8</v>
      </c>
      <c r="C22" s="648"/>
      <c r="D22" s="648"/>
      <c r="E22" s="648"/>
      <c r="F22" s="648"/>
      <c r="G22" s="129"/>
      <c r="H22" s="116"/>
    </row>
    <row r="23" spans="1:8" x14ac:dyDescent="0.25">
      <c r="A23" s="60" t="s">
        <v>9</v>
      </c>
      <c r="B23" s="61" t="s">
        <v>10</v>
      </c>
      <c r="C23" s="62">
        <v>3.09</v>
      </c>
      <c r="D23" s="62" t="s">
        <v>11</v>
      </c>
      <c r="E23" s="63" t="s">
        <v>12</v>
      </c>
      <c r="F23" s="64">
        <v>7.73</v>
      </c>
      <c r="G23" s="142">
        <v>46426</v>
      </c>
      <c r="H23" s="117">
        <f t="shared" ref="H23:H85" si="0">G23*1.18</f>
        <v>54782.68</v>
      </c>
    </row>
    <row r="24" spans="1:8" x14ac:dyDescent="0.25">
      <c r="A24" s="65" t="s">
        <v>13</v>
      </c>
      <c r="B24" s="1" t="s">
        <v>10</v>
      </c>
      <c r="C24" s="2">
        <v>2.2800000000000002</v>
      </c>
      <c r="D24" s="4" t="s">
        <v>11</v>
      </c>
      <c r="E24" s="5" t="s">
        <v>14</v>
      </c>
      <c r="F24" s="6">
        <v>5.7</v>
      </c>
      <c r="G24" s="143">
        <f>25882*1.09*1.04*1.06*1.04*1.025*1.04*1.06*1.025</f>
        <v>37461.383292721657</v>
      </c>
      <c r="H24" s="118">
        <f t="shared" si="0"/>
        <v>44204.432285411553</v>
      </c>
    </row>
    <row r="25" spans="1:8" x14ac:dyDescent="0.25">
      <c r="A25" s="65" t="s">
        <v>15</v>
      </c>
      <c r="B25" s="1" t="s">
        <v>10</v>
      </c>
      <c r="C25" s="2">
        <v>2.2800000000000002</v>
      </c>
      <c r="D25" s="4" t="s">
        <v>16</v>
      </c>
      <c r="E25" s="5" t="s">
        <v>14</v>
      </c>
      <c r="F25" s="6">
        <v>5.7</v>
      </c>
      <c r="G25" s="143">
        <v>31026</v>
      </c>
      <c r="H25" s="118">
        <f t="shared" si="0"/>
        <v>36610.68</v>
      </c>
    </row>
    <row r="26" spans="1:8" x14ac:dyDescent="0.25">
      <c r="A26" s="65" t="s">
        <v>17</v>
      </c>
      <c r="B26" s="1" t="s">
        <v>10</v>
      </c>
      <c r="C26" s="2">
        <v>0.57000000000000006</v>
      </c>
      <c r="D26" s="2" t="s">
        <v>11</v>
      </c>
      <c r="E26" s="3" t="s">
        <v>18</v>
      </c>
      <c r="F26" s="6">
        <v>1.43</v>
      </c>
      <c r="G26" s="143">
        <f>G25/3.7*1.005*1.012</f>
        <v>8528.4604216216212</v>
      </c>
      <c r="H26" s="118">
        <f t="shared" si="0"/>
        <v>10063.583297513513</v>
      </c>
    </row>
    <row r="27" spans="1:8" x14ac:dyDescent="0.25">
      <c r="A27" s="65" t="s">
        <v>19</v>
      </c>
      <c r="B27" s="1" t="s">
        <v>10</v>
      </c>
      <c r="C27" s="2">
        <v>1.98</v>
      </c>
      <c r="D27" s="4" t="s">
        <v>16</v>
      </c>
      <c r="E27" s="5" t="s">
        <v>20</v>
      </c>
      <c r="F27" s="6">
        <v>4.95</v>
      </c>
      <c r="G27" s="144">
        <v>33302.53</v>
      </c>
      <c r="H27" s="118">
        <f t="shared" si="0"/>
        <v>39296.985399999998</v>
      </c>
    </row>
    <row r="28" spans="1:8" x14ac:dyDescent="0.25">
      <c r="A28" s="65" t="s">
        <v>21</v>
      </c>
      <c r="B28" s="1" t="s">
        <v>10</v>
      </c>
      <c r="C28" s="2">
        <v>1.98</v>
      </c>
      <c r="D28" s="4" t="s">
        <v>16</v>
      </c>
      <c r="E28" s="5" t="s">
        <v>20</v>
      </c>
      <c r="F28" s="6">
        <v>4.95</v>
      </c>
      <c r="G28" s="144">
        <v>35395</v>
      </c>
      <c r="H28" s="118">
        <f t="shared" si="0"/>
        <v>41766.1</v>
      </c>
    </row>
    <row r="29" spans="1:8" x14ac:dyDescent="0.25">
      <c r="A29" s="65" t="s">
        <v>22</v>
      </c>
      <c r="B29" s="1" t="s">
        <v>10</v>
      </c>
      <c r="C29" s="2">
        <v>1.89</v>
      </c>
      <c r="D29" s="4" t="s">
        <v>11</v>
      </c>
      <c r="E29" s="5" t="s">
        <v>23</v>
      </c>
      <c r="F29" s="6">
        <v>4.7300000000000004</v>
      </c>
      <c r="G29" s="143">
        <v>28648</v>
      </c>
      <c r="H29" s="118">
        <f t="shared" si="0"/>
        <v>33804.639999999999</v>
      </c>
    </row>
    <row r="30" spans="1:8" x14ac:dyDescent="0.25">
      <c r="A30" s="65" t="s">
        <v>24</v>
      </c>
      <c r="B30" s="1" t="s">
        <v>10</v>
      </c>
      <c r="C30" s="2">
        <v>1.89</v>
      </c>
      <c r="D30" s="4" t="s">
        <v>16</v>
      </c>
      <c r="E30" s="5" t="s">
        <v>23</v>
      </c>
      <c r="F30" s="6">
        <v>4.7300000000000004</v>
      </c>
      <c r="G30" s="143">
        <v>26211</v>
      </c>
      <c r="H30" s="118">
        <f t="shared" si="0"/>
        <v>30928.98</v>
      </c>
    </row>
    <row r="31" spans="1:8" x14ac:dyDescent="0.25">
      <c r="A31" s="65" t="s">
        <v>25</v>
      </c>
      <c r="B31" s="1" t="s">
        <v>10</v>
      </c>
      <c r="C31" s="2">
        <v>0.47</v>
      </c>
      <c r="D31" s="2" t="s">
        <v>16</v>
      </c>
      <c r="E31" s="3" t="s">
        <v>26</v>
      </c>
      <c r="F31" s="6">
        <v>1.18</v>
      </c>
      <c r="G31" s="143">
        <f>G30/3.65*1</f>
        <v>7181.0958904109593</v>
      </c>
      <c r="H31" s="118">
        <f t="shared" si="0"/>
        <v>8473.6931506849323</v>
      </c>
    </row>
    <row r="32" spans="1:8" x14ac:dyDescent="0.25">
      <c r="A32" s="65" t="s">
        <v>27</v>
      </c>
      <c r="B32" s="1" t="s">
        <v>10</v>
      </c>
      <c r="C32" s="4">
        <v>1.62</v>
      </c>
      <c r="D32" s="2" t="s">
        <v>16</v>
      </c>
      <c r="E32" s="3" t="s">
        <v>28</v>
      </c>
      <c r="F32" s="6">
        <v>0.69</v>
      </c>
      <c r="G32" s="143">
        <v>26242</v>
      </c>
      <c r="H32" s="118">
        <f t="shared" si="0"/>
        <v>30965.559999999998</v>
      </c>
    </row>
    <row r="33" spans="1:8" x14ac:dyDescent="0.25">
      <c r="A33" s="65" t="s">
        <v>29</v>
      </c>
      <c r="B33" s="1" t="s">
        <v>10</v>
      </c>
      <c r="C33" s="2">
        <v>0.41</v>
      </c>
      <c r="D33" s="2" t="s">
        <v>16</v>
      </c>
      <c r="E33" s="3" t="s">
        <v>30</v>
      </c>
      <c r="F33" s="6">
        <v>1.03</v>
      </c>
      <c r="G33" s="143">
        <f>7071.07*1.03*1.04*1.015</f>
        <v>7688.148136759999</v>
      </c>
      <c r="H33" s="118">
        <f t="shared" si="0"/>
        <v>9072.0148013767975</v>
      </c>
    </row>
    <row r="34" spans="1:8" x14ac:dyDescent="0.25">
      <c r="A34" s="65" t="s">
        <v>31</v>
      </c>
      <c r="B34" s="1" t="s">
        <v>10</v>
      </c>
      <c r="C34" s="2">
        <v>3</v>
      </c>
      <c r="D34" s="4" t="s">
        <v>11</v>
      </c>
      <c r="E34" s="3" t="s">
        <v>32</v>
      </c>
      <c r="F34" s="6">
        <v>7.5</v>
      </c>
      <c r="G34" s="144">
        <v>38664.400000000001</v>
      </c>
      <c r="H34" s="118">
        <f t="shared" si="0"/>
        <v>45623.991999999998</v>
      </c>
    </row>
    <row r="35" spans="1:8" x14ac:dyDescent="0.25">
      <c r="A35" s="65" t="s">
        <v>33</v>
      </c>
      <c r="B35" s="1" t="s">
        <v>10</v>
      </c>
      <c r="C35" s="2">
        <v>0.38</v>
      </c>
      <c r="D35" s="2" t="s">
        <v>11</v>
      </c>
      <c r="E35" s="3" t="s">
        <v>34</v>
      </c>
      <c r="F35" s="6">
        <v>0.95</v>
      </c>
      <c r="G35" s="143">
        <v>6846</v>
      </c>
      <c r="H35" s="118">
        <f t="shared" si="0"/>
        <v>8078.28</v>
      </c>
    </row>
    <row r="36" spans="1:8" x14ac:dyDescent="0.25">
      <c r="A36" s="65" t="s">
        <v>35</v>
      </c>
      <c r="B36" s="1" t="s">
        <v>10</v>
      </c>
      <c r="C36" s="2">
        <v>3.72</v>
      </c>
      <c r="D36" s="4" t="s">
        <v>36</v>
      </c>
      <c r="E36" s="3" t="s">
        <v>37</v>
      </c>
      <c r="F36" s="6">
        <v>9.3000000000000007</v>
      </c>
      <c r="G36" s="143">
        <f>44332*1.04*1.02*1.04*1.06*1.015</f>
        <v>52620.634733721599</v>
      </c>
      <c r="H36" s="118">
        <f t="shared" si="0"/>
        <v>62092.348985791483</v>
      </c>
    </row>
    <row r="37" spans="1:8" x14ac:dyDescent="0.25">
      <c r="A37" s="65" t="s">
        <v>38</v>
      </c>
      <c r="B37" s="1" t="s">
        <v>10</v>
      </c>
      <c r="C37" s="2">
        <v>0.47</v>
      </c>
      <c r="D37" s="2" t="s">
        <v>36</v>
      </c>
      <c r="E37" s="3" t="s">
        <v>39</v>
      </c>
      <c r="F37" s="6">
        <v>1.18</v>
      </c>
      <c r="G37" s="143">
        <v>7110.9</v>
      </c>
      <c r="H37" s="118">
        <f t="shared" si="0"/>
        <v>8390.8619999999992</v>
      </c>
    </row>
    <row r="38" spans="1:8" x14ac:dyDescent="0.25">
      <c r="A38" s="65" t="s">
        <v>40</v>
      </c>
      <c r="B38" s="1" t="s">
        <v>10</v>
      </c>
      <c r="C38" s="2">
        <v>2.52</v>
      </c>
      <c r="D38" s="4" t="s">
        <v>36</v>
      </c>
      <c r="E38" s="3" t="s">
        <v>41</v>
      </c>
      <c r="F38" s="6">
        <v>6.3</v>
      </c>
      <c r="G38" s="143">
        <v>38164</v>
      </c>
      <c r="H38" s="118">
        <f t="shared" si="0"/>
        <v>45033.52</v>
      </c>
    </row>
    <row r="39" spans="1:8" x14ac:dyDescent="0.25">
      <c r="A39" s="65" t="s">
        <v>42</v>
      </c>
      <c r="B39" s="1" t="s">
        <v>10</v>
      </c>
      <c r="C39" s="2">
        <v>1.27</v>
      </c>
      <c r="D39" s="2" t="s">
        <v>36</v>
      </c>
      <c r="E39" s="3" t="s">
        <v>43</v>
      </c>
      <c r="F39" s="6">
        <v>3.15</v>
      </c>
      <c r="G39" s="143">
        <f>G38/2*1.015*1.018</f>
        <v>19716.85814</v>
      </c>
      <c r="H39" s="118">
        <f t="shared" si="0"/>
        <v>23265.892605199999</v>
      </c>
    </row>
    <row r="40" spans="1:8" x14ac:dyDescent="0.25">
      <c r="A40" s="65" t="s">
        <v>44</v>
      </c>
      <c r="B40" s="1" t="s">
        <v>10</v>
      </c>
      <c r="C40" s="2">
        <v>0.32</v>
      </c>
      <c r="D40" s="2" t="s">
        <v>36</v>
      </c>
      <c r="E40" s="3" t="s">
        <v>45</v>
      </c>
      <c r="F40" s="6">
        <v>0.8</v>
      </c>
      <c r="G40" s="143">
        <f>4456*1.04*1.02*1.01*1.06</f>
        <v>5060.6456908799992</v>
      </c>
      <c r="H40" s="118">
        <f t="shared" si="0"/>
        <v>5971.5619152383988</v>
      </c>
    </row>
    <row r="41" spans="1:8" x14ac:dyDescent="0.25">
      <c r="A41" s="66" t="s">
        <v>46</v>
      </c>
      <c r="B41" s="7" t="s">
        <v>10</v>
      </c>
      <c r="C41" s="6">
        <v>1.98</v>
      </c>
      <c r="D41" s="8" t="s">
        <v>16</v>
      </c>
      <c r="E41" s="9" t="s">
        <v>47</v>
      </c>
      <c r="F41" s="6">
        <v>4.95</v>
      </c>
      <c r="G41" s="145">
        <v>27889.919999999998</v>
      </c>
      <c r="H41" s="118">
        <f t="shared" si="0"/>
        <v>32910.105599999995</v>
      </c>
    </row>
    <row r="42" spans="1:8" x14ac:dyDescent="0.25">
      <c r="A42" s="66" t="s">
        <v>48</v>
      </c>
      <c r="B42" s="7" t="s">
        <v>10</v>
      </c>
      <c r="C42" s="6">
        <v>0.99</v>
      </c>
      <c r="D42" s="6" t="s">
        <v>16</v>
      </c>
      <c r="E42" s="9" t="s">
        <v>49</v>
      </c>
      <c r="F42" s="6">
        <v>2.48</v>
      </c>
      <c r="G42" s="145">
        <v>14223.86</v>
      </c>
      <c r="H42" s="118">
        <f t="shared" si="0"/>
        <v>16784.1548</v>
      </c>
    </row>
    <row r="43" spans="1:8" x14ac:dyDescent="0.25">
      <c r="A43" s="66" t="s">
        <v>50</v>
      </c>
      <c r="B43" s="7" t="s">
        <v>10</v>
      </c>
      <c r="C43" s="6">
        <v>1.86</v>
      </c>
      <c r="D43" s="6" t="s">
        <v>16</v>
      </c>
      <c r="E43" s="9" t="s">
        <v>51</v>
      </c>
      <c r="F43" s="6">
        <v>4.6500000000000004</v>
      </c>
      <c r="G43" s="145">
        <v>24264.81</v>
      </c>
      <c r="H43" s="118">
        <f t="shared" si="0"/>
        <v>28632.4758</v>
      </c>
    </row>
    <row r="44" spans="1:8" ht="15.75" thickBot="1" x14ac:dyDescent="0.3">
      <c r="A44" s="69" t="s">
        <v>52</v>
      </c>
      <c r="B44" s="70" t="s">
        <v>10</v>
      </c>
      <c r="C44" s="72">
        <v>0.93</v>
      </c>
      <c r="D44" s="72" t="s">
        <v>16</v>
      </c>
      <c r="E44" s="71" t="s">
        <v>53</v>
      </c>
      <c r="F44" s="72">
        <v>2.33</v>
      </c>
      <c r="G44" s="576">
        <v>12642</v>
      </c>
      <c r="H44" s="577">
        <f t="shared" si="0"/>
        <v>14917.56</v>
      </c>
    </row>
    <row r="45" spans="1:8" ht="15.75" thickBot="1" x14ac:dyDescent="0.3">
      <c r="A45" s="572">
        <v>1</v>
      </c>
      <c r="B45" s="573">
        <v>2</v>
      </c>
      <c r="C45" s="573">
        <v>3</v>
      </c>
      <c r="D45" s="573">
        <v>4</v>
      </c>
      <c r="E45" s="574">
        <v>5</v>
      </c>
      <c r="F45" s="573">
        <v>6</v>
      </c>
      <c r="G45" s="574">
        <v>7</v>
      </c>
      <c r="H45" s="575">
        <v>8</v>
      </c>
    </row>
    <row r="46" spans="1:8" x14ac:dyDescent="0.25">
      <c r="A46" s="67" t="s">
        <v>54</v>
      </c>
      <c r="B46" s="25" t="s">
        <v>10</v>
      </c>
      <c r="C46" s="26">
        <v>0.28999999999999998</v>
      </c>
      <c r="D46" s="26" t="s">
        <v>16</v>
      </c>
      <c r="E46" s="27" t="s">
        <v>55</v>
      </c>
      <c r="F46" s="26">
        <v>0.57999999999999996</v>
      </c>
      <c r="G46" s="570">
        <v>3382.7</v>
      </c>
      <c r="H46" s="571">
        <f t="shared" si="0"/>
        <v>3991.5859999999998</v>
      </c>
    </row>
    <row r="47" spans="1:8" x14ac:dyDescent="0.25">
      <c r="A47" s="66" t="s">
        <v>56</v>
      </c>
      <c r="B47" s="7" t="s">
        <v>10</v>
      </c>
      <c r="C47" s="6">
        <v>2.52</v>
      </c>
      <c r="D47" s="6" t="s">
        <v>36</v>
      </c>
      <c r="E47" s="9" t="s">
        <v>57</v>
      </c>
      <c r="F47" s="6">
        <v>6.3</v>
      </c>
      <c r="G47" s="145">
        <v>33212</v>
      </c>
      <c r="H47" s="118">
        <f t="shared" si="0"/>
        <v>39190.159999999996</v>
      </c>
    </row>
    <row r="48" spans="1:8" x14ac:dyDescent="0.25">
      <c r="A48" s="66" t="s">
        <v>58</v>
      </c>
      <c r="B48" s="7" t="s">
        <v>10</v>
      </c>
      <c r="C48" s="6">
        <v>2.52</v>
      </c>
      <c r="D48" s="6" t="s">
        <v>36</v>
      </c>
      <c r="E48" s="9" t="s">
        <v>59</v>
      </c>
      <c r="F48" s="6">
        <v>3.15</v>
      </c>
      <c r="G48" s="145">
        <v>16855</v>
      </c>
      <c r="H48" s="118">
        <f t="shared" si="0"/>
        <v>19888.899999999998</v>
      </c>
    </row>
    <row r="49" spans="1:8" x14ac:dyDescent="0.25">
      <c r="A49" s="66" t="s">
        <v>60</v>
      </c>
      <c r="B49" s="7" t="s">
        <v>10</v>
      </c>
      <c r="C49" s="6">
        <v>0.32</v>
      </c>
      <c r="D49" s="6" t="s">
        <v>36</v>
      </c>
      <c r="E49" s="9" t="s">
        <v>61</v>
      </c>
      <c r="F49" s="6">
        <v>0.8</v>
      </c>
      <c r="G49" s="145">
        <v>4636</v>
      </c>
      <c r="H49" s="118">
        <f t="shared" si="0"/>
        <v>5470.48</v>
      </c>
    </row>
    <row r="50" spans="1:8" x14ac:dyDescent="0.25">
      <c r="A50" s="66" t="s">
        <v>62</v>
      </c>
      <c r="B50" s="7" t="s">
        <v>10</v>
      </c>
      <c r="C50" s="6">
        <v>2.52</v>
      </c>
      <c r="D50" s="6" t="s">
        <v>16</v>
      </c>
      <c r="E50" s="9" t="s">
        <v>57</v>
      </c>
      <c r="F50" s="6">
        <v>6.3</v>
      </c>
      <c r="G50" s="145">
        <v>33724</v>
      </c>
      <c r="H50" s="118">
        <f t="shared" si="0"/>
        <v>39794.32</v>
      </c>
    </row>
    <row r="51" spans="1:8" x14ac:dyDescent="0.25">
      <c r="A51" s="66" t="s">
        <v>63</v>
      </c>
      <c r="B51" s="7" t="s">
        <v>10</v>
      </c>
      <c r="C51" s="6">
        <v>2.52</v>
      </c>
      <c r="D51" s="6" t="s">
        <v>36</v>
      </c>
      <c r="E51" s="9" t="s">
        <v>57</v>
      </c>
      <c r="F51" s="6">
        <v>6.3</v>
      </c>
      <c r="G51" s="145">
        <f>G50/2*1.001</f>
        <v>16878.861999999997</v>
      </c>
      <c r="H51" s="118">
        <f t="shared" si="0"/>
        <v>19917.057159999997</v>
      </c>
    </row>
    <row r="52" spans="1:8" x14ac:dyDescent="0.25">
      <c r="A52" s="66" t="s">
        <v>64</v>
      </c>
      <c r="B52" s="7" t="s">
        <v>10</v>
      </c>
      <c r="C52" s="6">
        <v>2.52</v>
      </c>
      <c r="D52" s="6" t="s">
        <v>36</v>
      </c>
      <c r="E52" s="9" t="s">
        <v>57</v>
      </c>
      <c r="F52" s="6">
        <v>6.3</v>
      </c>
      <c r="G52" s="145">
        <v>4964</v>
      </c>
      <c r="H52" s="118">
        <f t="shared" si="0"/>
        <v>5857.5199999999995</v>
      </c>
    </row>
    <row r="53" spans="1:8" x14ac:dyDescent="0.25">
      <c r="A53" s="66" t="s">
        <v>65</v>
      </c>
      <c r="B53" s="7" t="s">
        <v>10</v>
      </c>
      <c r="C53" s="6">
        <v>1.92</v>
      </c>
      <c r="D53" s="6" t="s">
        <v>36</v>
      </c>
      <c r="E53" s="9" t="s">
        <v>66</v>
      </c>
      <c r="F53" s="6">
        <v>4.8</v>
      </c>
      <c r="G53" s="145">
        <f>22684</f>
        <v>22684</v>
      </c>
      <c r="H53" s="118">
        <f t="shared" si="0"/>
        <v>26767.119999999999</v>
      </c>
    </row>
    <row r="54" spans="1:8" x14ac:dyDescent="0.25">
      <c r="A54" s="66" t="s">
        <v>67</v>
      </c>
      <c r="B54" s="7" t="s">
        <v>10</v>
      </c>
      <c r="C54" s="6">
        <v>0.96</v>
      </c>
      <c r="D54" s="6" t="s">
        <v>36</v>
      </c>
      <c r="E54" s="9" t="s">
        <v>68</v>
      </c>
      <c r="F54" s="6">
        <v>2.4</v>
      </c>
      <c r="G54" s="145">
        <f>G53/2*1.001</f>
        <v>11353.341999999999</v>
      </c>
      <c r="H54" s="118">
        <f t="shared" si="0"/>
        <v>13396.943559999998</v>
      </c>
    </row>
    <row r="55" spans="1:8" x14ac:dyDescent="0.25">
      <c r="A55" s="66" t="s">
        <v>69</v>
      </c>
      <c r="B55" s="7" t="s">
        <v>10</v>
      </c>
      <c r="C55" s="6">
        <v>0.24</v>
      </c>
      <c r="D55" s="6" t="s">
        <v>36</v>
      </c>
      <c r="E55" s="9" t="s">
        <v>70</v>
      </c>
      <c r="F55" s="6">
        <v>0.60000000000000009</v>
      </c>
      <c r="G55" s="145">
        <v>3243.8</v>
      </c>
      <c r="H55" s="118">
        <f t="shared" si="0"/>
        <v>3827.6840000000002</v>
      </c>
    </row>
    <row r="56" spans="1:8" x14ac:dyDescent="0.25">
      <c r="A56" s="66" t="s">
        <v>71</v>
      </c>
      <c r="B56" s="7" t="s">
        <v>10</v>
      </c>
      <c r="C56" s="6">
        <v>1.44</v>
      </c>
      <c r="D56" s="6" t="s">
        <v>11</v>
      </c>
      <c r="E56" s="9" t="s">
        <v>72</v>
      </c>
      <c r="F56" s="6">
        <v>3.6</v>
      </c>
      <c r="G56" s="143">
        <v>19620.7</v>
      </c>
      <c r="H56" s="118">
        <f t="shared" si="0"/>
        <v>23152.425999999999</v>
      </c>
    </row>
    <row r="57" spans="1:8" x14ac:dyDescent="0.25">
      <c r="A57" s="66" t="s">
        <v>73</v>
      </c>
      <c r="B57" s="7" t="s">
        <v>10</v>
      </c>
      <c r="C57" s="6">
        <v>1.44</v>
      </c>
      <c r="D57" s="6" t="s">
        <v>16</v>
      </c>
      <c r="E57" s="9" t="s">
        <v>72</v>
      </c>
      <c r="F57" s="6">
        <v>3.6</v>
      </c>
      <c r="G57" s="146">
        <f>20082.54*0.902</f>
        <v>18114.451080000003</v>
      </c>
      <c r="H57" s="118">
        <f t="shared" si="0"/>
        <v>21375.052274400001</v>
      </c>
    </row>
    <row r="58" spans="1:8" x14ac:dyDescent="0.25">
      <c r="A58" s="66" t="s">
        <v>74</v>
      </c>
      <c r="B58" s="7" t="s">
        <v>10</v>
      </c>
      <c r="C58" s="6">
        <v>1.44</v>
      </c>
      <c r="D58" s="6" t="s">
        <v>16</v>
      </c>
      <c r="E58" s="9" t="s">
        <v>72</v>
      </c>
      <c r="F58" s="6">
        <v>3.6</v>
      </c>
      <c r="G58" s="146">
        <v>20752</v>
      </c>
      <c r="H58" s="118">
        <f>G58*1.18</f>
        <v>24487.359999999997</v>
      </c>
    </row>
    <row r="59" spans="1:8" x14ac:dyDescent="0.25">
      <c r="A59" s="66" t="s">
        <v>75</v>
      </c>
      <c r="B59" s="7" t="s">
        <v>10</v>
      </c>
      <c r="C59" s="6">
        <v>0.72</v>
      </c>
      <c r="D59" s="6" t="s">
        <v>16</v>
      </c>
      <c r="E59" s="9" t="s">
        <v>76</v>
      </c>
      <c r="F59" s="6">
        <v>1.8</v>
      </c>
      <c r="G59" s="146">
        <f>G57/2*1.02</f>
        <v>9238.370050800002</v>
      </c>
      <c r="H59" s="118">
        <f t="shared" si="0"/>
        <v>10901.276659944002</v>
      </c>
    </row>
    <row r="60" spans="1:8" x14ac:dyDescent="0.25">
      <c r="A60" s="66" t="s">
        <v>77</v>
      </c>
      <c r="B60" s="7" t="s">
        <v>10</v>
      </c>
      <c r="C60" s="6">
        <v>0.18</v>
      </c>
      <c r="D60" s="6" t="s">
        <v>16</v>
      </c>
      <c r="E60" s="9" t="s">
        <v>78</v>
      </c>
      <c r="F60" s="6">
        <v>0.45</v>
      </c>
      <c r="G60" s="146">
        <f>G59/3.7</f>
        <v>2496.8567704864868</v>
      </c>
      <c r="H60" s="118">
        <f t="shared" si="0"/>
        <v>2946.2909891740542</v>
      </c>
    </row>
    <row r="61" spans="1:8" x14ac:dyDescent="0.25">
      <c r="A61" s="66" t="s">
        <v>79</v>
      </c>
      <c r="B61" s="7" t="s">
        <v>10</v>
      </c>
      <c r="C61" s="6">
        <v>1.32</v>
      </c>
      <c r="D61" s="6" t="s">
        <v>16</v>
      </c>
      <c r="E61" s="9" t="s">
        <v>80</v>
      </c>
      <c r="F61" s="6">
        <v>3.3</v>
      </c>
      <c r="G61" s="143">
        <f>12690.23*1.08*1.04*1.06*1.04*1.015*1.03*1.08*1.01</f>
        <v>17919.017308732295</v>
      </c>
      <c r="H61" s="118">
        <f t="shared" si="0"/>
        <v>21144.440424304106</v>
      </c>
    </row>
    <row r="62" spans="1:8" x14ac:dyDescent="0.25">
      <c r="A62" s="67" t="s">
        <v>81</v>
      </c>
      <c r="B62" s="25" t="s">
        <v>10</v>
      </c>
      <c r="C62" s="26">
        <v>0.66</v>
      </c>
      <c r="D62" s="26" t="s">
        <v>16</v>
      </c>
      <c r="E62" s="27" t="s">
        <v>82</v>
      </c>
      <c r="F62" s="26">
        <v>1.65</v>
      </c>
      <c r="G62" s="147">
        <f>G61/2*1.015</f>
        <v>9093.9012841816384</v>
      </c>
      <c r="H62" s="118">
        <f t="shared" si="0"/>
        <v>10730.803515334333</v>
      </c>
    </row>
    <row r="63" spans="1:8" x14ac:dyDescent="0.25">
      <c r="A63" s="66" t="s">
        <v>83</v>
      </c>
      <c r="B63" s="7" t="s">
        <v>84</v>
      </c>
      <c r="C63" s="6">
        <v>1.56</v>
      </c>
      <c r="D63" s="6" t="s">
        <v>36</v>
      </c>
      <c r="E63" s="9" t="s">
        <v>85</v>
      </c>
      <c r="F63" s="6">
        <v>3.9</v>
      </c>
      <c r="G63" s="143">
        <f>12870*0.94*1.1*1.04*1.06*1.06*1.02*1.03*1.08*0.96</f>
        <v>16938.562092616747</v>
      </c>
      <c r="H63" s="118">
        <f t="shared" si="0"/>
        <v>19987.503269287761</v>
      </c>
    </row>
    <row r="64" spans="1:8" x14ac:dyDescent="0.25">
      <c r="A64" s="66" t="s">
        <v>86</v>
      </c>
      <c r="B64" s="7" t="s">
        <v>10</v>
      </c>
      <c r="C64" s="6">
        <v>0.78</v>
      </c>
      <c r="D64" s="6" t="s">
        <v>36</v>
      </c>
      <c r="E64" s="9" t="s">
        <v>87</v>
      </c>
      <c r="F64" s="6">
        <v>1.9500000000000002</v>
      </c>
      <c r="G64" s="143">
        <f>G63/2*1.015</f>
        <v>8596.3202620029988</v>
      </c>
      <c r="H64" s="118">
        <f t="shared" si="0"/>
        <v>10143.657909163538</v>
      </c>
    </row>
    <row r="65" spans="1:8" x14ac:dyDescent="0.25">
      <c r="A65" s="68" t="s">
        <v>88</v>
      </c>
      <c r="B65" s="28" t="s">
        <v>10</v>
      </c>
      <c r="C65" s="29">
        <v>0.19</v>
      </c>
      <c r="D65" s="29" t="s">
        <v>36</v>
      </c>
      <c r="E65" s="30" t="s">
        <v>89</v>
      </c>
      <c r="F65" s="29">
        <v>0.5</v>
      </c>
      <c r="G65" s="148">
        <f>G64/3.6*1.03</f>
        <v>2459.5027416286357</v>
      </c>
      <c r="H65" s="118">
        <f t="shared" si="0"/>
        <v>2902.2132351217901</v>
      </c>
    </row>
    <row r="66" spans="1:8" x14ac:dyDescent="0.25">
      <c r="A66" s="68" t="s">
        <v>90</v>
      </c>
      <c r="B66" s="28" t="s">
        <v>10</v>
      </c>
      <c r="C66" s="29">
        <v>0.78</v>
      </c>
      <c r="D66" s="29" t="s">
        <v>36</v>
      </c>
      <c r="E66" s="30" t="s">
        <v>87</v>
      </c>
      <c r="F66" s="29">
        <v>3.9</v>
      </c>
      <c r="G66" s="148">
        <f>13932*1.024*1.03*1.08</f>
        <v>15869.907763200003</v>
      </c>
      <c r="H66" s="118">
        <f t="shared" si="0"/>
        <v>18726.491160576003</v>
      </c>
    </row>
    <row r="67" spans="1:8" x14ac:dyDescent="0.25">
      <c r="A67" s="66" t="s">
        <v>91</v>
      </c>
      <c r="B67" s="7" t="s">
        <v>10</v>
      </c>
      <c r="C67" s="6">
        <v>1.06</v>
      </c>
      <c r="D67" s="6" t="s">
        <v>16</v>
      </c>
      <c r="E67" s="9" t="s">
        <v>92</v>
      </c>
      <c r="F67" s="6">
        <v>2.7</v>
      </c>
      <c r="G67" s="143">
        <f>(3756.73*1.05*1.04*1.138*1.1*1.04*1.06*1.03*1.08+442)*1.06*1.06*1.04*1.06*1.06*0.98*1.09*1.04*1.06*1.04*1.02*1.03*1.055*0.98</f>
        <v>11771.319082821074</v>
      </c>
      <c r="H67" s="118">
        <f t="shared" si="0"/>
        <v>13890.156517728867</v>
      </c>
    </row>
    <row r="68" spans="1:8" x14ac:dyDescent="0.25">
      <c r="A68" s="66" t="s">
        <v>93</v>
      </c>
      <c r="B68" s="7" t="s">
        <v>10</v>
      </c>
      <c r="C68" s="6">
        <v>0.53</v>
      </c>
      <c r="D68" s="6" t="s">
        <v>16</v>
      </c>
      <c r="E68" s="9" t="s">
        <v>94</v>
      </c>
      <c r="F68" s="6">
        <v>1.35</v>
      </c>
      <c r="G68" s="143">
        <f>G67/2*1.02</f>
        <v>6003.3727322387476</v>
      </c>
      <c r="H68" s="118">
        <f t="shared" si="0"/>
        <v>7083.9798240417222</v>
      </c>
    </row>
    <row r="69" spans="1:8" x14ac:dyDescent="0.25">
      <c r="A69" s="66" t="s">
        <v>95</v>
      </c>
      <c r="B69" s="7" t="s">
        <v>10</v>
      </c>
      <c r="C69" s="6">
        <v>0.14000000000000001</v>
      </c>
      <c r="D69" s="6" t="s">
        <v>16</v>
      </c>
      <c r="E69" s="9" t="s">
        <v>94</v>
      </c>
      <c r="F69" s="6">
        <v>0.35</v>
      </c>
      <c r="G69" s="143">
        <v>1902</v>
      </c>
      <c r="H69" s="118">
        <f t="shared" si="0"/>
        <v>2244.3599999999997</v>
      </c>
    </row>
    <row r="70" spans="1:8" x14ac:dyDescent="0.25">
      <c r="A70" s="66" t="s">
        <v>96</v>
      </c>
      <c r="B70" s="7" t="s">
        <v>10</v>
      </c>
      <c r="C70" s="6">
        <v>0.9</v>
      </c>
      <c r="D70" s="6" t="s">
        <v>16</v>
      </c>
      <c r="E70" s="9" t="s">
        <v>97</v>
      </c>
      <c r="F70" s="6">
        <v>2.25</v>
      </c>
      <c r="G70" s="143">
        <v>11082</v>
      </c>
      <c r="H70" s="118">
        <f t="shared" si="0"/>
        <v>13076.76</v>
      </c>
    </row>
    <row r="71" spans="1:8" x14ac:dyDescent="0.25">
      <c r="A71" s="66" t="s">
        <v>98</v>
      </c>
      <c r="B71" s="7" t="s">
        <v>10</v>
      </c>
      <c r="C71" s="6">
        <v>0.45</v>
      </c>
      <c r="D71" s="6" t="s">
        <v>16</v>
      </c>
      <c r="E71" s="9" t="s">
        <v>99</v>
      </c>
      <c r="F71" s="6">
        <v>1.1299999999999999</v>
      </c>
      <c r="G71" s="143">
        <v>5826</v>
      </c>
      <c r="H71" s="118">
        <f t="shared" si="0"/>
        <v>6874.6799999999994</v>
      </c>
    </row>
    <row r="72" spans="1:8" x14ac:dyDescent="0.25">
      <c r="A72" s="66" t="s">
        <v>100</v>
      </c>
      <c r="B72" s="7" t="s">
        <v>10</v>
      </c>
      <c r="C72" s="6">
        <v>0.11</v>
      </c>
      <c r="D72" s="6" t="s">
        <v>16</v>
      </c>
      <c r="E72" s="9" t="s">
        <v>101</v>
      </c>
      <c r="F72" s="6">
        <v>0.28000000000000003</v>
      </c>
      <c r="G72" s="143">
        <f>G71/3.6*1</f>
        <v>1618.3333333333333</v>
      </c>
      <c r="H72" s="118">
        <f t="shared" si="0"/>
        <v>1909.6333333333332</v>
      </c>
    </row>
    <row r="73" spans="1:8" x14ac:dyDescent="0.25">
      <c r="A73" s="66" t="s">
        <v>102</v>
      </c>
      <c r="B73" s="7" t="s">
        <v>10</v>
      </c>
      <c r="C73" s="6">
        <v>0.88</v>
      </c>
      <c r="D73" s="6" t="s">
        <v>36</v>
      </c>
      <c r="E73" s="9" t="s">
        <v>103</v>
      </c>
      <c r="F73" s="6">
        <v>2.25</v>
      </c>
      <c r="G73" s="143">
        <f>8890.24*0.97</f>
        <v>8623.532799999999</v>
      </c>
      <c r="H73" s="118">
        <f t="shared" si="0"/>
        <v>10175.768703999998</v>
      </c>
    </row>
    <row r="74" spans="1:8" x14ac:dyDescent="0.25">
      <c r="A74" s="66" t="s">
        <v>104</v>
      </c>
      <c r="B74" s="7" t="s">
        <v>10</v>
      </c>
      <c r="C74" s="6">
        <v>0.44</v>
      </c>
      <c r="D74" s="6" t="s">
        <v>36</v>
      </c>
      <c r="E74" s="9" t="s">
        <v>105</v>
      </c>
      <c r="F74" s="6">
        <v>1.1299999999999999</v>
      </c>
      <c r="G74" s="143">
        <f>G73/2*1.02</f>
        <v>4398.0017279999993</v>
      </c>
      <c r="H74" s="118">
        <f t="shared" si="0"/>
        <v>5189.642039039999</v>
      </c>
    </row>
    <row r="75" spans="1:8" x14ac:dyDescent="0.25">
      <c r="A75" s="66" t="s">
        <v>106</v>
      </c>
      <c r="B75" s="7" t="s">
        <v>10</v>
      </c>
      <c r="C75" s="6">
        <v>0.11</v>
      </c>
      <c r="D75" s="6" t="s">
        <v>36</v>
      </c>
      <c r="E75" s="9" t="s">
        <v>107</v>
      </c>
      <c r="F75" s="6">
        <v>0.28000000000000003</v>
      </c>
      <c r="G75" s="143">
        <f>1207.43*1.04*1.01*1.021065*1.045</f>
        <v>1353.2759242008005</v>
      </c>
      <c r="H75" s="118">
        <f t="shared" si="0"/>
        <v>1596.8655905569447</v>
      </c>
    </row>
    <row r="76" spans="1:8" x14ac:dyDescent="0.25">
      <c r="A76" s="68" t="s">
        <v>108</v>
      </c>
      <c r="B76" s="7" t="s">
        <v>10</v>
      </c>
      <c r="C76" s="6">
        <v>0.72</v>
      </c>
      <c r="D76" s="6" t="s">
        <v>16</v>
      </c>
      <c r="E76" s="9" t="s">
        <v>109</v>
      </c>
      <c r="F76" s="6">
        <v>1.8</v>
      </c>
      <c r="G76" s="143">
        <f>8726*0.97</f>
        <v>8464.2199999999993</v>
      </c>
      <c r="H76" s="118">
        <f t="shared" si="0"/>
        <v>9987.779599999998</v>
      </c>
    </row>
    <row r="77" spans="1:8" x14ac:dyDescent="0.25">
      <c r="A77" s="66" t="s">
        <v>110</v>
      </c>
      <c r="B77" s="7" t="s">
        <v>10</v>
      </c>
      <c r="C77" s="6">
        <v>0.72</v>
      </c>
      <c r="D77" s="6" t="s">
        <v>36</v>
      </c>
      <c r="E77" s="9" t="s">
        <v>109</v>
      </c>
      <c r="F77" s="6">
        <v>1.8</v>
      </c>
      <c r="G77" s="143">
        <f>5780*0.98*1.09*1.04*1.06*1.04*1.025*1.03*1.045*0.97</f>
        <v>7575.3389691912535</v>
      </c>
      <c r="H77" s="118">
        <f t="shared" si="0"/>
        <v>8938.8999836456787</v>
      </c>
    </row>
    <row r="78" spans="1:8" x14ac:dyDescent="0.25">
      <c r="A78" s="66" t="s">
        <v>111</v>
      </c>
      <c r="B78" s="7" t="s">
        <v>10</v>
      </c>
      <c r="C78" s="6">
        <v>0.36</v>
      </c>
      <c r="D78" s="6" t="s">
        <v>36</v>
      </c>
      <c r="E78" s="9" t="s">
        <v>112</v>
      </c>
      <c r="F78" s="6">
        <v>0.9</v>
      </c>
      <c r="G78" s="144">
        <v>3821</v>
      </c>
      <c r="H78" s="118">
        <f t="shared" si="0"/>
        <v>4508.78</v>
      </c>
    </row>
    <row r="79" spans="1:8" x14ac:dyDescent="0.25">
      <c r="A79" s="66" t="s">
        <v>113</v>
      </c>
      <c r="B79" s="7" t="s">
        <v>10</v>
      </c>
      <c r="C79" s="6">
        <v>0.09</v>
      </c>
      <c r="D79" s="6" t="s">
        <v>36</v>
      </c>
      <c r="E79" s="9" t="s">
        <v>114</v>
      </c>
      <c r="F79" s="6">
        <v>0.23</v>
      </c>
      <c r="G79" s="143">
        <v>1126</v>
      </c>
      <c r="H79" s="118">
        <f t="shared" si="0"/>
        <v>1328.6799999999998</v>
      </c>
    </row>
    <row r="80" spans="1:8" x14ac:dyDescent="0.25">
      <c r="A80" s="66" t="s">
        <v>115</v>
      </c>
      <c r="B80" s="7" t="s">
        <v>10</v>
      </c>
      <c r="C80" s="6">
        <v>0.38</v>
      </c>
      <c r="D80" s="2" t="s">
        <v>36</v>
      </c>
      <c r="E80" s="9" t="s">
        <v>116</v>
      </c>
      <c r="F80" s="6">
        <v>0.9</v>
      </c>
      <c r="G80" s="143">
        <f>3220*1.07*1.04*1.06*1.04*1.02504*1.025*1.045*0.97</f>
        <v>4206.9262291933692</v>
      </c>
      <c r="H80" s="118">
        <f t="shared" si="0"/>
        <v>4964.1729504481755</v>
      </c>
    </row>
    <row r="81" spans="1:8" x14ac:dyDescent="0.25">
      <c r="A81" s="66" t="s">
        <v>117</v>
      </c>
      <c r="B81" s="7" t="s">
        <v>10</v>
      </c>
      <c r="C81" s="6">
        <v>0.19</v>
      </c>
      <c r="D81" s="2" t="s">
        <v>36</v>
      </c>
      <c r="E81" s="9" t="s">
        <v>118</v>
      </c>
      <c r="F81" s="6">
        <v>0.45</v>
      </c>
      <c r="G81" s="143">
        <v>2167</v>
      </c>
      <c r="H81" s="118">
        <f t="shared" si="0"/>
        <v>2557.06</v>
      </c>
    </row>
    <row r="82" spans="1:8" x14ac:dyDescent="0.25">
      <c r="A82" s="66" t="s">
        <v>119</v>
      </c>
      <c r="B82" s="7" t="s">
        <v>10</v>
      </c>
      <c r="C82" s="29">
        <v>0.05</v>
      </c>
      <c r="D82" s="2" t="s">
        <v>36</v>
      </c>
      <c r="E82" s="9" t="s">
        <v>120</v>
      </c>
      <c r="F82" s="6">
        <v>0.11</v>
      </c>
      <c r="G82" s="143">
        <v>652</v>
      </c>
      <c r="H82" s="118">
        <f t="shared" si="0"/>
        <v>769.36</v>
      </c>
    </row>
    <row r="83" spans="1:8" x14ac:dyDescent="0.25">
      <c r="A83" s="66" t="s">
        <v>121</v>
      </c>
      <c r="B83" s="7" t="s">
        <v>10</v>
      </c>
      <c r="C83" s="6">
        <v>0.38</v>
      </c>
      <c r="D83" s="2" t="s">
        <v>36</v>
      </c>
      <c r="E83" s="9" t="s">
        <v>116</v>
      </c>
      <c r="F83" s="6">
        <v>0.9</v>
      </c>
      <c r="G83" s="143">
        <f>3220*1.07*1.04*1.06*1.04*1.02504*1.025*1.045*1.02</f>
        <v>4423.7780966775636</v>
      </c>
      <c r="H83" s="118">
        <f t="shared" si="0"/>
        <v>5220.0581540795247</v>
      </c>
    </row>
    <row r="84" spans="1:8" x14ac:dyDescent="0.25">
      <c r="A84" s="66" t="s">
        <v>122</v>
      </c>
      <c r="B84" s="7" t="s">
        <v>10</v>
      </c>
      <c r="C84" s="6">
        <v>0.19</v>
      </c>
      <c r="D84" s="2" t="s">
        <v>36</v>
      </c>
      <c r="E84" s="9" t="s">
        <v>118</v>
      </c>
      <c r="F84" s="6">
        <v>0.45</v>
      </c>
      <c r="G84" s="143">
        <v>2278.6999999999998</v>
      </c>
      <c r="H84" s="118">
        <f t="shared" si="0"/>
        <v>2688.8659999999995</v>
      </c>
    </row>
    <row r="85" spans="1:8" ht="15.75" thickBot="1" x14ac:dyDescent="0.3">
      <c r="A85" s="74" t="s">
        <v>123</v>
      </c>
      <c r="B85" s="37" t="s">
        <v>10</v>
      </c>
      <c r="C85" s="75">
        <v>0.05</v>
      </c>
      <c r="D85" s="2" t="s">
        <v>36</v>
      </c>
      <c r="E85" s="39" t="s">
        <v>120</v>
      </c>
      <c r="F85" s="38">
        <v>0.11</v>
      </c>
      <c r="G85" s="149">
        <v>652</v>
      </c>
      <c r="H85" s="119">
        <f t="shared" si="0"/>
        <v>769.36</v>
      </c>
    </row>
    <row r="86" spans="1:8" x14ac:dyDescent="0.25">
      <c r="A86" s="79"/>
      <c r="B86" s="80"/>
      <c r="C86" s="81"/>
      <c r="D86" s="81"/>
      <c r="E86" s="82"/>
      <c r="F86" s="83"/>
      <c r="G86" s="150"/>
      <c r="H86" s="107"/>
    </row>
    <row r="87" spans="1:8" ht="15.75" thickBot="1" x14ac:dyDescent="0.3">
      <c r="A87" s="658" t="s">
        <v>124</v>
      </c>
      <c r="B87" s="659"/>
      <c r="C87" s="659"/>
      <c r="D87" s="659"/>
      <c r="E87" s="659"/>
      <c r="F87" s="659"/>
      <c r="G87" s="659"/>
      <c r="H87" s="660"/>
    </row>
    <row r="88" spans="1:8" x14ac:dyDescent="0.25">
      <c r="A88" s="85" t="s">
        <v>125</v>
      </c>
      <c r="B88" s="86" t="s">
        <v>126</v>
      </c>
      <c r="C88" s="87">
        <v>0.31</v>
      </c>
      <c r="D88" s="88" t="s">
        <v>127</v>
      </c>
      <c r="E88" s="89" t="s">
        <v>128</v>
      </c>
      <c r="F88" s="589">
        <v>0.8</v>
      </c>
      <c r="G88" s="151">
        <v>4820</v>
      </c>
      <c r="H88" s="108">
        <f>G88*1.18</f>
        <v>5687.5999999999995</v>
      </c>
    </row>
    <row r="89" spans="1:8" x14ac:dyDescent="0.25">
      <c r="A89" s="67" t="s">
        <v>129</v>
      </c>
      <c r="B89" s="25" t="s">
        <v>126</v>
      </c>
      <c r="C89" s="6">
        <v>0.41</v>
      </c>
      <c r="D89" s="35" t="s">
        <v>127</v>
      </c>
      <c r="E89" s="36" t="s">
        <v>130</v>
      </c>
      <c r="F89" s="590">
        <v>1</v>
      </c>
      <c r="G89" s="127">
        <v>6512</v>
      </c>
      <c r="H89" s="109">
        <f>G89*1.18</f>
        <v>7684.16</v>
      </c>
    </row>
    <row r="90" spans="1:8" x14ac:dyDescent="0.25">
      <c r="A90" s="66" t="s">
        <v>131</v>
      </c>
      <c r="B90" s="7" t="s">
        <v>126</v>
      </c>
      <c r="C90" s="6">
        <v>0.03</v>
      </c>
      <c r="D90" s="35" t="s">
        <v>127</v>
      </c>
      <c r="E90" s="9" t="s">
        <v>132</v>
      </c>
      <c r="F90" s="590">
        <v>0.08</v>
      </c>
      <c r="G90" s="127">
        <v>592</v>
      </c>
      <c r="H90" s="109">
        <f>G90*1.18</f>
        <v>698.56</v>
      </c>
    </row>
    <row r="91" spans="1:8" ht="24.75" customHeight="1" x14ac:dyDescent="0.25">
      <c r="A91" s="348" t="s">
        <v>840</v>
      </c>
      <c r="B91" s="7" t="s">
        <v>133</v>
      </c>
      <c r="C91" s="6">
        <v>0.1</v>
      </c>
      <c r="D91" s="35" t="s">
        <v>127</v>
      </c>
      <c r="E91" s="9" t="s">
        <v>134</v>
      </c>
      <c r="F91" s="590">
        <v>0.25</v>
      </c>
      <c r="G91" s="127">
        <v>1631</v>
      </c>
      <c r="H91" s="109">
        <f>G91*1.18</f>
        <v>1924.58</v>
      </c>
    </row>
    <row r="92" spans="1:8" ht="24" thickBot="1" x14ac:dyDescent="0.3">
      <c r="A92" s="578" t="s">
        <v>135</v>
      </c>
      <c r="B92" s="7" t="s">
        <v>133</v>
      </c>
      <c r="C92" s="72">
        <v>2.8000000000000001E-2</v>
      </c>
      <c r="D92" s="388" t="s">
        <v>127</v>
      </c>
      <c r="E92" s="71" t="s">
        <v>136</v>
      </c>
      <c r="F92" s="591">
        <v>0.7</v>
      </c>
      <c r="G92" s="579">
        <v>488</v>
      </c>
      <c r="H92" s="580">
        <f>G92*1.18</f>
        <v>575.83999999999992</v>
      </c>
    </row>
    <row r="93" spans="1:8" ht="15.75" thickBot="1" x14ac:dyDescent="0.3">
      <c r="A93" s="572">
        <v>1</v>
      </c>
      <c r="B93" s="573">
        <v>2</v>
      </c>
      <c r="C93" s="573">
        <v>3</v>
      </c>
      <c r="D93" s="573">
        <v>4</v>
      </c>
      <c r="E93" s="574">
        <v>5</v>
      </c>
      <c r="F93" s="573">
        <v>6</v>
      </c>
      <c r="G93" s="574">
        <v>7</v>
      </c>
      <c r="H93" s="575">
        <v>8</v>
      </c>
    </row>
    <row r="94" spans="1:8" ht="15.75" thickBot="1" x14ac:dyDescent="0.3">
      <c r="A94" s="661" t="s">
        <v>138</v>
      </c>
      <c r="B94" s="662"/>
      <c r="C94" s="662"/>
      <c r="D94" s="662"/>
      <c r="E94" s="662"/>
      <c r="F94" s="662"/>
      <c r="G94" s="662"/>
      <c r="H94" s="663"/>
    </row>
    <row r="95" spans="1:8" ht="15.75" thickBot="1" x14ac:dyDescent="0.3">
      <c r="A95" s="24" t="s">
        <v>842</v>
      </c>
      <c r="B95" s="25" t="s">
        <v>139</v>
      </c>
      <c r="C95" s="26">
        <v>7.0000000000000007E-2</v>
      </c>
      <c r="D95" s="76" t="s">
        <v>127</v>
      </c>
      <c r="E95" s="27" t="s">
        <v>140</v>
      </c>
      <c r="F95" s="47"/>
      <c r="G95" s="111">
        <v>1322</v>
      </c>
      <c r="H95" s="111">
        <f>G95*1.18</f>
        <v>1559.9599999999998</v>
      </c>
    </row>
    <row r="96" spans="1:8" ht="15.75" thickBot="1" x14ac:dyDescent="0.3">
      <c r="A96" s="664" t="s">
        <v>144</v>
      </c>
      <c r="B96" s="665"/>
      <c r="C96" s="665"/>
      <c r="D96" s="665"/>
      <c r="E96" s="665"/>
      <c r="F96" s="665"/>
      <c r="G96" s="665"/>
      <c r="H96" s="666"/>
    </row>
    <row r="97" spans="1:8" ht="15.75" thickBot="1" x14ac:dyDescent="0.3">
      <c r="A97" s="95" t="s">
        <v>145</v>
      </c>
      <c r="B97" s="96" t="s">
        <v>146</v>
      </c>
      <c r="C97" s="64">
        <v>0.04</v>
      </c>
      <c r="D97" s="97" t="s">
        <v>16</v>
      </c>
      <c r="E97" s="97" t="s">
        <v>147</v>
      </c>
      <c r="F97" s="64">
        <v>0.1</v>
      </c>
      <c r="G97" s="152">
        <v>538.6</v>
      </c>
      <c r="H97" s="120">
        <f>G97*1.18</f>
        <v>635.548</v>
      </c>
    </row>
    <row r="98" spans="1:8" x14ac:dyDescent="0.25">
      <c r="A98" s="66" t="s">
        <v>148</v>
      </c>
      <c r="B98" s="7" t="s">
        <v>146</v>
      </c>
      <c r="C98" s="6">
        <v>0.11</v>
      </c>
      <c r="D98" s="97" t="s">
        <v>16</v>
      </c>
      <c r="E98" s="9" t="s">
        <v>149</v>
      </c>
      <c r="F98" s="6"/>
      <c r="G98" s="153">
        <v>1988</v>
      </c>
      <c r="H98" s="121">
        <f t="shared" ref="H98:H126" si="1">G98*1.18</f>
        <v>2345.8399999999997</v>
      </c>
    </row>
    <row r="99" spans="1:8" x14ac:dyDescent="0.25">
      <c r="A99" s="66" t="s">
        <v>150</v>
      </c>
      <c r="B99" s="7" t="s">
        <v>146</v>
      </c>
      <c r="C99" s="6">
        <v>0.16400000000000001</v>
      </c>
      <c r="D99" s="9" t="s">
        <v>36</v>
      </c>
      <c r="E99" s="9" t="s">
        <v>151</v>
      </c>
      <c r="F99" s="6">
        <v>0.41</v>
      </c>
      <c r="G99" s="153">
        <v>2276</v>
      </c>
      <c r="H99" s="121">
        <f t="shared" si="1"/>
        <v>2685.68</v>
      </c>
    </row>
    <row r="100" spans="1:8" x14ac:dyDescent="0.25">
      <c r="A100" s="66" t="s">
        <v>152</v>
      </c>
      <c r="B100" s="7" t="s">
        <v>146</v>
      </c>
      <c r="C100" s="6">
        <v>0.04</v>
      </c>
      <c r="D100" s="9" t="s">
        <v>36</v>
      </c>
      <c r="E100" s="9" t="s">
        <v>153</v>
      </c>
      <c r="F100" s="6">
        <v>0.1</v>
      </c>
      <c r="G100" s="144">
        <v>692</v>
      </c>
      <c r="H100" s="121">
        <f t="shared" si="1"/>
        <v>816.56</v>
      </c>
    </row>
    <row r="101" spans="1:8" x14ac:dyDescent="0.25">
      <c r="A101" s="66" t="s">
        <v>154</v>
      </c>
      <c r="B101" s="7" t="s">
        <v>146</v>
      </c>
      <c r="C101" s="6">
        <v>0.28999999999999998</v>
      </c>
      <c r="D101" s="9" t="s">
        <v>16</v>
      </c>
      <c r="E101" s="9" t="s">
        <v>155</v>
      </c>
      <c r="F101" s="6">
        <v>0.7</v>
      </c>
      <c r="G101" s="154">
        <v>2842</v>
      </c>
      <c r="H101" s="121">
        <f t="shared" si="1"/>
        <v>3353.56</v>
      </c>
    </row>
    <row r="102" spans="1:8" x14ac:dyDescent="0.25">
      <c r="A102" s="66" t="s">
        <v>156</v>
      </c>
      <c r="B102" s="7" t="s">
        <v>146</v>
      </c>
      <c r="C102" s="6">
        <v>0.35</v>
      </c>
      <c r="D102" s="9" t="s">
        <v>16</v>
      </c>
      <c r="E102" s="9" t="s">
        <v>157</v>
      </c>
      <c r="F102" s="6">
        <v>0.87</v>
      </c>
      <c r="G102" s="144">
        <v>4186</v>
      </c>
      <c r="H102" s="121">
        <f t="shared" si="1"/>
        <v>4939.4799999999996</v>
      </c>
    </row>
    <row r="103" spans="1:8" x14ac:dyDescent="0.25">
      <c r="A103" s="66" t="s">
        <v>158</v>
      </c>
      <c r="B103" s="7" t="s">
        <v>146</v>
      </c>
      <c r="C103" s="6">
        <v>0.35</v>
      </c>
      <c r="D103" s="9" t="s">
        <v>36</v>
      </c>
      <c r="E103" s="9" t="s">
        <v>157</v>
      </c>
      <c r="F103" s="6">
        <v>0.87</v>
      </c>
      <c r="G103" s="154">
        <v>3460</v>
      </c>
      <c r="H103" s="121">
        <f t="shared" si="1"/>
        <v>4082.7999999999997</v>
      </c>
    </row>
    <row r="104" spans="1:8" x14ac:dyDescent="0.25">
      <c r="A104" s="66" t="s">
        <v>159</v>
      </c>
      <c r="B104" s="7" t="s">
        <v>146</v>
      </c>
      <c r="C104" s="6">
        <v>0.09</v>
      </c>
      <c r="D104" s="9" t="s">
        <v>36</v>
      </c>
      <c r="E104" s="9" t="s">
        <v>160</v>
      </c>
      <c r="F104" s="6">
        <v>0.21</v>
      </c>
      <c r="G104" s="144">
        <v>1121</v>
      </c>
      <c r="H104" s="121">
        <f t="shared" si="1"/>
        <v>1322.78</v>
      </c>
    </row>
    <row r="105" spans="1:8" x14ac:dyDescent="0.25">
      <c r="A105" s="66" t="s">
        <v>161</v>
      </c>
      <c r="B105" s="7" t="s">
        <v>146</v>
      </c>
      <c r="C105" s="6">
        <v>0.06</v>
      </c>
      <c r="D105" s="9" t="s">
        <v>36</v>
      </c>
      <c r="E105" s="9" t="s">
        <v>162</v>
      </c>
      <c r="F105" s="6">
        <v>0.15</v>
      </c>
      <c r="G105" s="144">
        <v>996</v>
      </c>
      <c r="H105" s="121">
        <f t="shared" si="1"/>
        <v>1175.28</v>
      </c>
    </row>
    <row r="106" spans="1:8" x14ac:dyDescent="0.25">
      <c r="A106" s="66" t="s">
        <v>163</v>
      </c>
      <c r="B106" s="7" t="s">
        <v>146</v>
      </c>
      <c r="C106" s="6">
        <v>0.42</v>
      </c>
      <c r="D106" s="9" t="s">
        <v>16</v>
      </c>
      <c r="E106" s="9" t="s">
        <v>164</v>
      </c>
      <c r="F106" s="6">
        <v>1.04</v>
      </c>
      <c r="G106" s="144">
        <f>(1488.95*1.05*1.08*1.12*1.1*1.03*1.1*1.068*1.04*1.06+182)*1.05*1.05*1.05*1.05*1.06*1.05*0.98*0.92*1.05*1.04*1.06*1.04*1.03*1.025*1.05*1.02</f>
        <v>4909.2189487588475</v>
      </c>
      <c r="H106" s="121">
        <f t="shared" si="1"/>
        <v>5792.8783595354398</v>
      </c>
    </row>
    <row r="107" spans="1:8" x14ac:dyDescent="0.25">
      <c r="A107" s="66" t="s">
        <v>165</v>
      </c>
      <c r="B107" s="7" t="s">
        <v>146</v>
      </c>
      <c r="C107" s="6">
        <v>0.31</v>
      </c>
      <c r="D107" s="9" t="s">
        <v>16</v>
      </c>
      <c r="E107" s="9" t="s">
        <v>166</v>
      </c>
      <c r="F107" s="6">
        <v>0.77</v>
      </c>
      <c r="G107" s="143">
        <f>4007.88*1.06*1.05*0.97*0.92*1.07*1.04*1.06*1.06*1.03*1.02*1.05</f>
        <v>5490.6654016669745</v>
      </c>
      <c r="H107" s="121">
        <f t="shared" si="1"/>
        <v>6478.9851739670294</v>
      </c>
    </row>
    <row r="108" spans="1:8" x14ac:dyDescent="0.25">
      <c r="A108" s="66" t="s">
        <v>167</v>
      </c>
      <c r="B108" s="7" t="s">
        <v>146</v>
      </c>
      <c r="C108" s="6">
        <v>0.08</v>
      </c>
      <c r="D108" s="9" t="s">
        <v>16</v>
      </c>
      <c r="E108" s="9" t="s">
        <v>168</v>
      </c>
      <c r="F108" s="6">
        <v>0.19</v>
      </c>
      <c r="G108" s="143">
        <f>G107/3.5*1.02*0.97*1</f>
        <v>1552.132670974087</v>
      </c>
      <c r="H108" s="121">
        <f t="shared" si="1"/>
        <v>1831.5165517494224</v>
      </c>
    </row>
    <row r="109" spans="1:8" x14ac:dyDescent="0.25">
      <c r="A109" s="66" t="s">
        <v>169</v>
      </c>
      <c r="B109" s="7" t="s">
        <v>146</v>
      </c>
      <c r="C109" s="6">
        <v>0.44</v>
      </c>
      <c r="D109" s="9" t="s">
        <v>16</v>
      </c>
      <c r="E109" s="9" t="s">
        <v>170</v>
      </c>
      <c r="F109" s="6">
        <v>1.1000000000000001</v>
      </c>
      <c r="G109" s="144">
        <v>5604</v>
      </c>
      <c r="H109" s="121">
        <f t="shared" si="1"/>
        <v>6612.7199999999993</v>
      </c>
    </row>
    <row r="110" spans="1:8" x14ac:dyDescent="0.25">
      <c r="A110" s="66" t="s">
        <v>171</v>
      </c>
      <c r="B110" s="7" t="s">
        <v>146</v>
      </c>
      <c r="C110" s="6">
        <v>0.11</v>
      </c>
      <c r="D110" s="9" t="s">
        <v>16</v>
      </c>
      <c r="E110" s="9" t="s">
        <v>172</v>
      </c>
      <c r="F110" s="6">
        <v>0.27</v>
      </c>
      <c r="G110" s="144">
        <v>1601</v>
      </c>
      <c r="H110" s="121">
        <f t="shared" si="1"/>
        <v>1889.1799999999998</v>
      </c>
    </row>
    <row r="111" spans="1:8" x14ac:dyDescent="0.25">
      <c r="A111" s="66" t="s">
        <v>173</v>
      </c>
      <c r="B111" s="7" t="s">
        <v>146</v>
      </c>
      <c r="C111" s="6">
        <v>0.71</v>
      </c>
      <c r="D111" s="9" t="s">
        <v>16</v>
      </c>
      <c r="E111" s="9" t="s">
        <v>174</v>
      </c>
      <c r="F111" s="6">
        <v>1.77</v>
      </c>
      <c r="G111" s="155">
        <v>7442</v>
      </c>
      <c r="H111" s="121">
        <f t="shared" si="1"/>
        <v>8781.56</v>
      </c>
    </row>
    <row r="112" spans="1:8" x14ac:dyDescent="0.25">
      <c r="A112" s="68" t="s">
        <v>175</v>
      </c>
      <c r="B112" s="7" t="s">
        <v>146</v>
      </c>
      <c r="C112" s="6">
        <v>0.18</v>
      </c>
      <c r="D112" s="9" t="s">
        <v>16</v>
      </c>
      <c r="E112" s="9" t="s">
        <v>176</v>
      </c>
      <c r="F112" s="6">
        <v>0.44</v>
      </c>
      <c r="G112" s="155">
        <f>2434*1.02*1.05</f>
        <v>2606.8139999999999</v>
      </c>
      <c r="H112" s="121">
        <f t="shared" si="1"/>
        <v>3076.0405199999996</v>
      </c>
    </row>
    <row r="113" spans="1:8" x14ac:dyDescent="0.25">
      <c r="A113" s="66" t="s">
        <v>177</v>
      </c>
      <c r="B113" s="7" t="s">
        <v>146</v>
      </c>
      <c r="C113" s="6">
        <v>0.71</v>
      </c>
      <c r="D113" s="9" t="s">
        <v>16</v>
      </c>
      <c r="E113" s="9" t="s">
        <v>174</v>
      </c>
      <c r="F113" s="6">
        <v>1.77</v>
      </c>
      <c r="G113" s="155">
        <v>8046</v>
      </c>
      <c r="H113" s="121">
        <f t="shared" si="1"/>
        <v>9494.2799999999988</v>
      </c>
    </row>
    <row r="114" spans="1:8" x14ac:dyDescent="0.25">
      <c r="A114" s="66" t="s">
        <v>178</v>
      </c>
      <c r="B114" s="7" t="s">
        <v>146</v>
      </c>
      <c r="C114" s="6">
        <v>0.18</v>
      </c>
      <c r="D114" s="9" t="s">
        <v>16</v>
      </c>
      <c r="E114" s="9" t="s">
        <v>174</v>
      </c>
      <c r="F114" s="6">
        <v>0.44</v>
      </c>
      <c r="G114" s="155">
        <f>2626*1.03</f>
        <v>2704.78</v>
      </c>
      <c r="H114" s="121">
        <f t="shared" si="1"/>
        <v>3191.6404000000002</v>
      </c>
    </row>
    <row r="115" spans="1:8" x14ac:dyDescent="0.25">
      <c r="A115" s="66" t="s">
        <v>179</v>
      </c>
      <c r="B115" s="7" t="s">
        <v>146</v>
      </c>
      <c r="C115" s="6">
        <v>0.53</v>
      </c>
      <c r="D115" s="9" t="s">
        <v>16</v>
      </c>
      <c r="E115" s="9" t="s">
        <v>180</v>
      </c>
      <c r="F115" s="6">
        <v>1.33</v>
      </c>
      <c r="G115" s="155">
        <f>(1899.94*1.05*1.08*1.12*1.1*1.03*1.08*1.068*1.04*1.08+229.6)*1.05*1.05*1.05*1.08*1.06*1.045*0.97*1.08*1.04*1.06*1.06*1.025*1.025*1.04</f>
        <v>6986.5893171042298</v>
      </c>
      <c r="H115" s="121">
        <f t="shared" si="1"/>
        <v>8244.1753941829902</v>
      </c>
    </row>
    <row r="116" spans="1:8" x14ac:dyDescent="0.25">
      <c r="A116" s="98" t="s">
        <v>181</v>
      </c>
      <c r="B116" s="13" t="s">
        <v>146</v>
      </c>
      <c r="C116" s="14">
        <v>0.5</v>
      </c>
      <c r="D116" s="15" t="s">
        <v>16</v>
      </c>
      <c r="E116" s="15" t="s">
        <v>182</v>
      </c>
      <c r="F116" s="14">
        <v>1.24</v>
      </c>
      <c r="G116" s="155">
        <v>6472</v>
      </c>
      <c r="H116" s="121">
        <f t="shared" si="1"/>
        <v>7636.96</v>
      </c>
    </row>
    <row r="117" spans="1:8" x14ac:dyDescent="0.25">
      <c r="A117" s="98" t="s">
        <v>184</v>
      </c>
      <c r="B117" s="13" t="s">
        <v>146</v>
      </c>
      <c r="C117" s="14">
        <v>0.12</v>
      </c>
      <c r="D117" s="15" t="s">
        <v>16</v>
      </c>
      <c r="E117" s="15" t="s">
        <v>185</v>
      </c>
      <c r="F117" s="14">
        <v>0.3</v>
      </c>
      <c r="G117" s="155">
        <v>2122</v>
      </c>
      <c r="H117" s="122">
        <f t="shared" si="1"/>
        <v>2503.96</v>
      </c>
    </row>
    <row r="118" spans="1:8" x14ac:dyDescent="0.25">
      <c r="A118" s="66" t="s">
        <v>186</v>
      </c>
      <c r="B118" s="7" t="s">
        <v>146</v>
      </c>
      <c r="C118" s="6">
        <v>0.66</v>
      </c>
      <c r="D118" s="9" t="s">
        <v>16</v>
      </c>
      <c r="E118" s="9" t="s">
        <v>183</v>
      </c>
      <c r="F118" s="6">
        <v>1.65</v>
      </c>
      <c r="G118" s="156">
        <v>8494</v>
      </c>
      <c r="H118" s="121">
        <f t="shared" si="1"/>
        <v>10022.92</v>
      </c>
    </row>
    <row r="119" spans="1:8" x14ac:dyDescent="0.25">
      <c r="A119" s="66" t="s">
        <v>187</v>
      </c>
      <c r="B119" s="7" t="s">
        <v>146</v>
      </c>
      <c r="C119" s="6">
        <v>0.66</v>
      </c>
      <c r="D119" s="9" t="s">
        <v>16</v>
      </c>
      <c r="E119" s="9" t="s">
        <v>183</v>
      </c>
      <c r="F119" s="6">
        <v>1.65</v>
      </c>
      <c r="G119" s="155">
        <v>7428</v>
      </c>
      <c r="H119" s="121">
        <f t="shared" si="1"/>
        <v>8765.0399999999991</v>
      </c>
    </row>
    <row r="120" spans="1:8" x14ac:dyDescent="0.25">
      <c r="A120" s="66" t="s">
        <v>188</v>
      </c>
      <c r="B120" s="7" t="s">
        <v>146</v>
      </c>
      <c r="C120" s="6">
        <v>0.16500000000000001</v>
      </c>
      <c r="D120" s="9" t="s">
        <v>16</v>
      </c>
      <c r="E120" s="9" t="s">
        <v>189</v>
      </c>
      <c r="F120" s="6">
        <v>0.41</v>
      </c>
      <c r="G120" s="155">
        <f>G118/3.7</f>
        <v>2295.6756756756754</v>
      </c>
      <c r="H120" s="121">
        <f t="shared" si="1"/>
        <v>2708.897297297297</v>
      </c>
    </row>
    <row r="121" spans="1:8" x14ac:dyDescent="0.25">
      <c r="A121" s="98" t="s">
        <v>190</v>
      </c>
      <c r="B121" s="13" t="s">
        <v>146</v>
      </c>
      <c r="C121" s="14">
        <v>0.66</v>
      </c>
      <c r="D121" s="15" t="s">
        <v>16</v>
      </c>
      <c r="E121" s="15" t="s">
        <v>183</v>
      </c>
      <c r="F121" s="14">
        <v>1.65</v>
      </c>
      <c r="G121" s="144">
        <v>10406</v>
      </c>
      <c r="H121" s="123">
        <f t="shared" si="1"/>
        <v>12279.08</v>
      </c>
    </row>
    <row r="122" spans="1:8" x14ac:dyDescent="0.25">
      <c r="A122" s="98" t="s">
        <v>191</v>
      </c>
      <c r="B122" s="13" t="s">
        <v>146</v>
      </c>
      <c r="C122" s="14">
        <v>0.16500000000000001</v>
      </c>
      <c r="D122" s="15" t="s">
        <v>16</v>
      </c>
      <c r="E122" s="15" t="s">
        <v>189</v>
      </c>
      <c r="F122" s="14">
        <v>0.41</v>
      </c>
      <c r="G122" s="144">
        <f>G121/3.6</f>
        <v>2890.5555555555557</v>
      </c>
      <c r="H122" s="123">
        <f t="shared" si="1"/>
        <v>3410.8555555555554</v>
      </c>
    </row>
    <row r="123" spans="1:8" x14ac:dyDescent="0.25">
      <c r="A123" s="99" t="s">
        <v>192</v>
      </c>
      <c r="B123" s="44" t="s">
        <v>146</v>
      </c>
      <c r="C123" s="45">
        <v>0.97</v>
      </c>
      <c r="D123" s="46" t="s">
        <v>16</v>
      </c>
      <c r="E123" s="46" t="s">
        <v>193</v>
      </c>
      <c r="F123" s="45">
        <v>2.42</v>
      </c>
      <c r="G123" s="155">
        <v>11060</v>
      </c>
      <c r="H123" s="124">
        <f t="shared" si="1"/>
        <v>13050.8</v>
      </c>
    </row>
    <row r="124" spans="1:8" x14ac:dyDescent="0.25">
      <c r="A124" s="99" t="s">
        <v>194</v>
      </c>
      <c r="B124" s="44" t="s">
        <v>146</v>
      </c>
      <c r="C124" s="45">
        <v>0.24</v>
      </c>
      <c r="D124" s="46" t="s">
        <v>16</v>
      </c>
      <c r="E124" s="46" t="s">
        <v>195</v>
      </c>
      <c r="F124" s="45">
        <v>0.60000000000000009</v>
      </c>
      <c r="G124" s="155">
        <f>G123/3.6</f>
        <v>3072.2222222222222</v>
      </c>
      <c r="H124" s="124">
        <f t="shared" si="1"/>
        <v>3625.2222222222222</v>
      </c>
    </row>
    <row r="125" spans="1:8" x14ac:dyDescent="0.25">
      <c r="A125" s="66" t="s">
        <v>196</v>
      </c>
      <c r="B125" s="7" t="s">
        <v>146</v>
      </c>
      <c r="C125" s="6">
        <v>1.61</v>
      </c>
      <c r="D125" s="9" t="s">
        <v>16</v>
      </c>
      <c r="E125" s="9" t="s">
        <v>197</v>
      </c>
      <c r="F125" s="6">
        <v>4.04</v>
      </c>
      <c r="G125" s="155">
        <v>15086</v>
      </c>
      <c r="H125" s="121">
        <f t="shared" si="1"/>
        <v>17801.48</v>
      </c>
    </row>
    <row r="126" spans="1:8" x14ac:dyDescent="0.25">
      <c r="A126" s="66" t="s">
        <v>198</v>
      </c>
      <c r="B126" s="7" t="s">
        <v>146</v>
      </c>
      <c r="C126" s="6">
        <v>0.4</v>
      </c>
      <c r="D126" s="9" t="s">
        <v>16</v>
      </c>
      <c r="E126" s="9" t="s">
        <v>199</v>
      </c>
      <c r="F126" s="6">
        <v>1</v>
      </c>
      <c r="G126" s="155">
        <f>G125/3.6</f>
        <v>4190.5555555555557</v>
      </c>
      <c r="H126" s="121">
        <f t="shared" si="1"/>
        <v>4944.8555555555558</v>
      </c>
    </row>
    <row r="127" spans="1:8" x14ac:dyDescent="0.25">
      <c r="A127" s="98" t="s">
        <v>200</v>
      </c>
      <c r="B127" s="13" t="s">
        <v>146</v>
      </c>
      <c r="C127" s="14">
        <v>1.03</v>
      </c>
      <c r="D127" s="15" t="s">
        <v>16</v>
      </c>
      <c r="E127" s="15" t="s">
        <v>201</v>
      </c>
      <c r="F127" s="14">
        <v>2.58</v>
      </c>
      <c r="G127" s="155">
        <v>9540</v>
      </c>
      <c r="H127" s="122">
        <f>G127*1.18</f>
        <v>11257.199999999999</v>
      </c>
    </row>
    <row r="128" spans="1:8" x14ac:dyDescent="0.25">
      <c r="A128" s="98" t="s">
        <v>202</v>
      </c>
      <c r="B128" s="13" t="s">
        <v>146</v>
      </c>
      <c r="C128" s="14">
        <v>0.25</v>
      </c>
      <c r="D128" s="15" t="s">
        <v>16</v>
      </c>
      <c r="E128" s="15" t="s">
        <v>203</v>
      </c>
      <c r="F128" s="14">
        <v>0.625</v>
      </c>
      <c r="G128" s="155">
        <f>G127/3.6</f>
        <v>2650</v>
      </c>
      <c r="H128" s="122">
        <f>G128*1.18</f>
        <v>3127</v>
      </c>
    </row>
    <row r="129" spans="1:8" x14ac:dyDescent="0.25">
      <c r="A129" s="98" t="s">
        <v>204</v>
      </c>
      <c r="B129" s="13" t="s">
        <v>146</v>
      </c>
      <c r="C129" s="14">
        <v>1.18</v>
      </c>
      <c r="D129" s="15" t="s">
        <v>16</v>
      </c>
      <c r="E129" s="15" t="s">
        <v>205</v>
      </c>
      <c r="F129" s="14">
        <v>2.94</v>
      </c>
      <c r="G129" s="155">
        <v>13657</v>
      </c>
      <c r="H129" s="122">
        <f t="shared" ref="H129:H149" si="2">G129*1.18</f>
        <v>16115.259999999998</v>
      </c>
    </row>
    <row r="130" spans="1:8" x14ac:dyDescent="0.25">
      <c r="A130" s="98" t="s">
        <v>206</v>
      </c>
      <c r="B130" s="13" t="s">
        <v>146</v>
      </c>
      <c r="C130" s="14">
        <v>0.28999999999999998</v>
      </c>
      <c r="D130" s="15" t="s">
        <v>16</v>
      </c>
      <c r="E130" s="15" t="s">
        <v>207</v>
      </c>
      <c r="F130" s="14">
        <v>0.73</v>
      </c>
      <c r="G130" s="155">
        <f>G129/3.6</f>
        <v>3793.6111111111109</v>
      </c>
      <c r="H130" s="122">
        <f t="shared" si="2"/>
        <v>4476.4611111111108</v>
      </c>
    </row>
    <row r="131" spans="1:8" x14ac:dyDescent="0.25">
      <c r="A131" s="66" t="s">
        <v>208</v>
      </c>
      <c r="B131" s="7" t="s">
        <v>146</v>
      </c>
      <c r="C131" s="6">
        <v>1.18</v>
      </c>
      <c r="D131" s="9" t="s">
        <v>16</v>
      </c>
      <c r="E131" s="9" t="s">
        <v>205</v>
      </c>
      <c r="F131" s="6">
        <v>2.94</v>
      </c>
      <c r="G131" s="157">
        <v>15290</v>
      </c>
      <c r="H131" s="121">
        <f t="shared" si="2"/>
        <v>18042.2</v>
      </c>
    </row>
    <row r="132" spans="1:8" x14ac:dyDescent="0.25">
      <c r="A132" s="66" t="s">
        <v>209</v>
      </c>
      <c r="B132" s="7" t="s">
        <v>146</v>
      </c>
      <c r="C132" s="6">
        <v>0.28999999999999998</v>
      </c>
      <c r="D132" s="9" t="s">
        <v>16</v>
      </c>
      <c r="E132" s="9" t="s">
        <v>207</v>
      </c>
      <c r="F132" s="6">
        <v>0.73</v>
      </c>
      <c r="G132" s="157">
        <v>4192</v>
      </c>
      <c r="H132" s="121">
        <f t="shared" si="2"/>
        <v>4946.5599999999995</v>
      </c>
    </row>
    <row r="133" spans="1:8" x14ac:dyDescent="0.25">
      <c r="A133" s="66" t="s">
        <v>210</v>
      </c>
      <c r="B133" s="7" t="s">
        <v>146</v>
      </c>
      <c r="C133" s="6">
        <v>1.84</v>
      </c>
      <c r="D133" s="9" t="s">
        <v>16</v>
      </c>
      <c r="E133" s="9" t="s">
        <v>211</v>
      </c>
      <c r="F133" s="6">
        <v>4.5999999999999996</v>
      </c>
      <c r="G133" s="155">
        <f>15420*1.06*1.022*1.024*1.04</f>
        <v>17789.937844224005</v>
      </c>
      <c r="H133" s="121">
        <f t="shared" si="2"/>
        <v>20992.126656184326</v>
      </c>
    </row>
    <row r="134" spans="1:8" x14ac:dyDescent="0.25">
      <c r="A134" s="66" t="s">
        <v>212</v>
      </c>
      <c r="B134" s="7" t="s">
        <v>146</v>
      </c>
      <c r="C134" s="6">
        <v>0.46</v>
      </c>
      <c r="D134" s="9" t="s">
        <v>16</v>
      </c>
      <c r="E134" s="9" t="s">
        <v>211</v>
      </c>
      <c r="F134" s="6">
        <v>1.1499999999999999</v>
      </c>
      <c r="G134" s="157">
        <v>4874</v>
      </c>
      <c r="H134" s="121">
        <f t="shared" si="2"/>
        <v>5751.32</v>
      </c>
    </row>
    <row r="135" spans="1:8" x14ac:dyDescent="0.25">
      <c r="A135" s="66" t="s">
        <v>213</v>
      </c>
      <c r="B135" s="7" t="s">
        <v>146</v>
      </c>
      <c r="C135" s="6">
        <v>1.84</v>
      </c>
      <c r="D135" s="9" t="s">
        <v>16</v>
      </c>
      <c r="E135" s="9" t="s">
        <v>211</v>
      </c>
      <c r="F135" s="6">
        <v>4.5999999999999996</v>
      </c>
      <c r="G135" s="155">
        <v>19345</v>
      </c>
      <c r="H135" s="121">
        <f t="shared" si="2"/>
        <v>22827.1</v>
      </c>
    </row>
    <row r="136" spans="1:8" x14ac:dyDescent="0.25">
      <c r="A136" s="66" t="s">
        <v>213</v>
      </c>
      <c r="B136" s="7" t="s">
        <v>146</v>
      </c>
      <c r="C136" s="6">
        <v>0.46</v>
      </c>
      <c r="D136" s="9" t="s">
        <v>16</v>
      </c>
      <c r="E136" s="9" t="s">
        <v>211</v>
      </c>
      <c r="F136" s="6">
        <v>1.1499999999999999</v>
      </c>
      <c r="G136" s="155">
        <f>G135/3.65</f>
        <v>5300</v>
      </c>
      <c r="H136" s="121">
        <f t="shared" si="2"/>
        <v>6254</v>
      </c>
    </row>
    <row r="137" spans="1:8" x14ac:dyDescent="0.25">
      <c r="A137" s="66" t="s">
        <v>214</v>
      </c>
      <c r="B137" s="7" t="s">
        <v>146</v>
      </c>
      <c r="C137" s="6">
        <v>1.5</v>
      </c>
      <c r="D137" s="9" t="s">
        <v>16</v>
      </c>
      <c r="E137" s="9" t="s">
        <v>215</v>
      </c>
      <c r="F137" s="6">
        <v>3.74</v>
      </c>
      <c r="G137" s="155">
        <v>14996</v>
      </c>
      <c r="H137" s="121">
        <f t="shared" si="2"/>
        <v>17695.28</v>
      </c>
    </row>
    <row r="138" spans="1:8" x14ac:dyDescent="0.25">
      <c r="A138" s="66" t="s">
        <v>216</v>
      </c>
      <c r="B138" s="7" t="s">
        <v>146</v>
      </c>
      <c r="C138" s="6">
        <v>0.37</v>
      </c>
      <c r="D138" s="9" t="s">
        <v>16</v>
      </c>
      <c r="E138" s="9" t="s">
        <v>217</v>
      </c>
      <c r="F138" s="6">
        <v>0.93</v>
      </c>
      <c r="G138" s="155">
        <v>4108</v>
      </c>
      <c r="H138" s="121">
        <f t="shared" si="2"/>
        <v>4847.4399999999996</v>
      </c>
    </row>
    <row r="139" spans="1:8" x14ac:dyDescent="0.25">
      <c r="A139" s="66" t="s">
        <v>218</v>
      </c>
      <c r="B139" s="7" t="s">
        <v>146</v>
      </c>
      <c r="C139" s="6">
        <v>1.5</v>
      </c>
      <c r="D139" s="9" t="s">
        <v>16</v>
      </c>
      <c r="E139" s="9" t="s">
        <v>215</v>
      </c>
      <c r="F139" s="6">
        <v>3.74</v>
      </c>
      <c r="G139" s="155">
        <v>18160</v>
      </c>
      <c r="H139" s="121">
        <f t="shared" si="2"/>
        <v>21428.799999999999</v>
      </c>
    </row>
    <row r="140" spans="1:8" x14ac:dyDescent="0.25">
      <c r="A140" s="66" t="s">
        <v>219</v>
      </c>
      <c r="B140" s="7" t="s">
        <v>146</v>
      </c>
      <c r="C140" s="6">
        <v>0.37</v>
      </c>
      <c r="D140" s="9" t="s">
        <v>16</v>
      </c>
      <c r="E140" s="9" t="s">
        <v>217</v>
      </c>
      <c r="F140" s="6">
        <v>0.93</v>
      </c>
      <c r="G140" s="155">
        <v>4976</v>
      </c>
      <c r="H140" s="121">
        <f t="shared" si="2"/>
        <v>5871.6799999999994</v>
      </c>
    </row>
    <row r="141" spans="1:8" x14ac:dyDescent="0.25">
      <c r="A141" s="66" t="s">
        <v>220</v>
      </c>
      <c r="B141" s="7" t="s">
        <v>146</v>
      </c>
      <c r="C141" s="6">
        <v>2.08</v>
      </c>
      <c r="D141" s="9" t="s">
        <v>16</v>
      </c>
      <c r="E141" s="9" t="s">
        <v>221</v>
      </c>
      <c r="F141" s="6">
        <v>5.2</v>
      </c>
      <c r="G141" s="155">
        <v>22000</v>
      </c>
      <c r="H141" s="121">
        <f t="shared" si="2"/>
        <v>25960</v>
      </c>
    </row>
    <row r="142" spans="1:8" ht="15.75" thickBot="1" x14ac:dyDescent="0.3">
      <c r="A142" s="66" t="s">
        <v>222</v>
      </c>
      <c r="B142" s="7" t="s">
        <v>146</v>
      </c>
      <c r="C142" s="6">
        <v>0.51</v>
      </c>
      <c r="D142" s="9" t="s">
        <v>16</v>
      </c>
      <c r="E142" s="9" t="s">
        <v>223</v>
      </c>
      <c r="F142" s="6">
        <v>1.29</v>
      </c>
      <c r="G142" s="155">
        <f>G141/3.65</f>
        <v>6027.3972602739732</v>
      </c>
      <c r="H142" s="121">
        <f t="shared" si="2"/>
        <v>7112.3287671232883</v>
      </c>
    </row>
    <row r="143" spans="1:8" ht="15.75" thickBot="1" x14ac:dyDescent="0.3">
      <c r="A143" s="572">
        <v>1</v>
      </c>
      <c r="B143" s="573">
        <v>2</v>
      </c>
      <c r="C143" s="573">
        <v>3</v>
      </c>
      <c r="D143" s="573">
        <v>4</v>
      </c>
      <c r="E143" s="574">
        <v>5</v>
      </c>
      <c r="F143" s="573">
        <v>6</v>
      </c>
      <c r="G143" s="574">
        <v>7</v>
      </c>
      <c r="H143" s="575">
        <v>8</v>
      </c>
    </row>
    <row r="144" spans="1:8" x14ac:dyDescent="0.25">
      <c r="A144" s="66" t="s">
        <v>224</v>
      </c>
      <c r="B144" s="7" t="s">
        <v>146</v>
      </c>
      <c r="C144" s="6">
        <v>2.08</v>
      </c>
      <c r="D144" s="9" t="s">
        <v>16</v>
      </c>
      <c r="E144" s="9" t="s">
        <v>221</v>
      </c>
      <c r="F144" s="6">
        <v>5.2</v>
      </c>
      <c r="G144" s="155">
        <v>25024</v>
      </c>
      <c r="H144" s="121">
        <f t="shared" si="2"/>
        <v>29528.32</v>
      </c>
    </row>
    <row r="145" spans="1:8" x14ac:dyDescent="0.25">
      <c r="A145" s="66" t="s">
        <v>225</v>
      </c>
      <c r="B145" s="7" t="s">
        <v>146</v>
      </c>
      <c r="C145" s="6">
        <v>0.51</v>
      </c>
      <c r="D145" s="9" t="s">
        <v>16</v>
      </c>
      <c r="E145" s="9" t="s">
        <v>223</v>
      </c>
      <c r="F145" s="6">
        <v>1.29</v>
      </c>
      <c r="G145" s="155">
        <f>G142/3.65</f>
        <v>1651.3417151435544</v>
      </c>
      <c r="H145" s="121">
        <f t="shared" si="2"/>
        <v>1948.583223869394</v>
      </c>
    </row>
    <row r="146" spans="1:8" x14ac:dyDescent="0.25">
      <c r="A146" s="66" t="s">
        <v>226</v>
      </c>
      <c r="B146" s="7" t="s">
        <v>146</v>
      </c>
      <c r="C146" s="6">
        <v>2.52</v>
      </c>
      <c r="D146" s="9" t="s">
        <v>16</v>
      </c>
      <c r="E146" s="9" t="s">
        <v>227</v>
      </c>
      <c r="F146" s="6">
        <v>6.32</v>
      </c>
      <c r="G146" s="155">
        <v>29022</v>
      </c>
      <c r="H146" s="121">
        <f t="shared" si="2"/>
        <v>34245.96</v>
      </c>
    </row>
    <row r="147" spans="1:8" x14ac:dyDescent="0.25">
      <c r="A147" s="66" t="s">
        <v>228</v>
      </c>
      <c r="B147" s="7" t="s">
        <v>146</v>
      </c>
      <c r="C147" s="6">
        <v>0.63</v>
      </c>
      <c r="D147" s="9" t="s">
        <v>16</v>
      </c>
      <c r="E147" s="9" t="s">
        <v>229</v>
      </c>
      <c r="F147" s="6">
        <v>1.56</v>
      </c>
      <c r="G147" s="155">
        <f>G146/3.65</f>
        <v>7951.232876712329</v>
      </c>
      <c r="H147" s="121">
        <f t="shared" si="2"/>
        <v>9382.4547945205486</v>
      </c>
    </row>
    <row r="148" spans="1:8" x14ac:dyDescent="0.25">
      <c r="A148" s="66" t="s">
        <v>230</v>
      </c>
      <c r="B148" s="7" t="s">
        <v>146</v>
      </c>
      <c r="C148" s="6">
        <v>2.52</v>
      </c>
      <c r="D148" s="9" t="s">
        <v>16</v>
      </c>
      <c r="E148" s="9" t="s">
        <v>227</v>
      </c>
      <c r="F148" s="6">
        <v>6.32</v>
      </c>
      <c r="G148" s="155">
        <v>36119</v>
      </c>
      <c r="H148" s="121">
        <f t="shared" si="2"/>
        <v>42620.42</v>
      </c>
    </row>
    <row r="149" spans="1:8" ht="15.75" thickBot="1" x14ac:dyDescent="0.3">
      <c r="A149" s="74" t="s">
        <v>231</v>
      </c>
      <c r="B149" s="37" t="s">
        <v>146</v>
      </c>
      <c r="C149" s="38">
        <v>2.52</v>
      </c>
      <c r="D149" s="39" t="s">
        <v>16</v>
      </c>
      <c r="E149" s="39" t="s">
        <v>227</v>
      </c>
      <c r="F149" s="38">
        <v>6.32</v>
      </c>
      <c r="G149" s="158">
        <v>39244</v>
      </c>
      <c r="H149" s="125">
        <f t="shared" si="2"/>
        <v>46307.92</v>
      </c>
    </row>
    <row r="150" spans="1:8" x14ac:dyDescent="0.25">
      <c r="A150" s="632" t="s">
        <v>238</v>
      </c>
      <c r="B150" s="633"/>
      <c r="C150" s="633"/>
      <c r="D150" s="633"/>
      <c r="E150" s="633"/>
      <c r="F150" s="633"/>
      <c r="G150" s="633"/>
      <c r="H150" s="634"/>
    </row>
    <row r="151" spans="1:8" ht="15.75" thickBot="1" x14ac:dyDescent="0.3">
      <c r="A151" s="100"/>
      <c r="B151" s="599"/>
      <c r="C151" s="635" t="s">
        <v>8</v>
      </c>
      <c r="D151" s="635"/>
      <c r="E151" s="635"/>
      <c r="F151" s="101"/>
      <c r="G151" s="550"/>
      <c r="H151" s="116"/>
    </row>
    <row r="152" spans="1:8" x14ac:dyDescent="0.25">
      <c r="A152" s="592" t="s">
        <v>239</v>
      </c>
      <c r="B152" s="600" t="s">
        <v>853</v>
      </c>
      <c r="C152" s="87">
        <v>0.05</v>
      </c>
      <c r="D152" s="97" t="s">
        <v>16</v>
      </c>
      <c r="E152" s="104" t="s">
        <v>240</v>
      </c>
      <c r="F152" s="103">
        <v>0.13</v>
      </c>
      <c r="G152" s="159">
        <v>1382</v>
      </c>
      <c r="H152" s="120">
        <f t="shared" ref="H152:H159" si="3">G152*1.18</f>
        <v>1630.76</v>
      </c>
    </row>
    <row r="153" spans="1:8" x14ac:dyDescent="0.25">
      <c r="A153" s="593" t="s">
        <v>241</v>
      </c>
      <c r="B153" s="601" t="s">
        <v>853</v>
      </c>
      <c r="C153" s="34">
        <v>0.09</v>
      </c>
      <c r="D153" s="9" t="s">
        <v>16</v>
      </c>
      <c r="E153" s="42" t="s">
        <v>242</v>
      </c>
      <c r="F153" s="43">
        <v>0.22</v>
      </c>
      <c r="G153" s="155">
        <v>2184</v>
      </c>
      <c r="H153" s="121">
        <f t="shared" si="3"/>
        <v>2577.12</v>
      </c>
    </row>
    <row r="154" spans="1:8" x14ac:dyDescent="0.25">
      <c r="A154" s="594" t="s">
        <v>243</v>
      </c>
      <c r="B154" s="601" t="s">
        <v>853</v>
      </c>
      <c r="C154" s="597">
        <v>0.14000000000000001</v>
      </c>
      <c r="D154" s="540" t="s">
        <v>16</v>
      </c>
      <c r="E154" s="102" t="s">
        <v>244</v>
      </c>
      <c r="F154" s="43">
        <v>0.35</v>
      </c>
      <c r="G154" s="160">
        <v>2690</v>
      </c>
      <c r="H154" s="121">
        <f t="shared" si="3"/>
        <v>3174.2</v>
      </c>
    </row>
    <row r="155" spans="1:8" x14ac:dyDescent="0.25">
      <c r="A155" s="593" t="s">
        <v>245</v>
      </c>
      <c r="B155" s="601" t="s">
        <v>853</v>
      </c>
      <c r="C155" s="34">
        <v>0.19</v>
      </c>
      <c r="D155" s="9" t="s">
        <v>16</v>
      </c>
      <c r="E155" s="42" t="s">
        <v>246</v>
      </c>
      <c r="F155" s="43">
        <v>0.48</v>
      </c>
      <c r="G155" s="127">
        <v>3062</v>
      </c>
      <c r="H155" s="109">
        <f t="shared" si="3"/>
        <v>3613.16</v>
      </c>
    </row>
    <row r="156" spans="1:8" x14ac:dyDescent="0.25">
      <c r="A156" s="595" t="s">
        <v>247</v>
      </c>
      <c r="B156" s="601" t="s">
        <v>853</v>
      </c>
      <c r="C156" s="597">
        <v>0.24</v>
      </c>
      <c r="D156" s="540" t="s">
        <v>16</v>
      </c>
      <c r="E156" s="102" t="s">
        <v>248</v>
      </c>
      <c r="F156" s="43">
        <v>0.6</v>
      </c>
      <c r="G156" s="160">
        <v>4260</v>
      </c>
      <c r="H156" s="121">
        <f t="shared" si="3"/>
        <v>5026.8</v>
      </c>
    </row>
    <row r="157" spans="1:8" x14ac:dyDescent="0.25">
      <c r="A157" s="593" t="s">
        <v>249</v>
      </c>
      <c r="B157" s="601" t="s">
        <v>853</v>
      </c>
      <c r="C157" s="34">
        <v>0.5</v>
      </c>
      <c r="D157" s="9" t="s">
        <v>16</v>
      </c>
      <c r="E157" s="42" t="s">
        <v>250</v>
      </c>
      <c r="F157" s="43">
        <v>1.25</v>
      </c>
      <c r="G157" s="155">
        <v>8643</v>
      </c>
      <c r="H157" s="121">
        <f t="shared" si="3"/>
        <v>10198.74</v>
      </c>
    </row>
    <row r="158" spans="1:8" x14ac:dyDescent="0.25">
      <c r="A158" s="593" t="s">
        <v>251</v>
      </c>
      <c r="B158" s="601" t="s">
        <v>853</v>
      </c>
      <c r="C158" s="34">
        <v>0.71</v>
      </c>
      <c r="D158" s="9" t="s">
        <v>16</v>
      </c>
      <c r="E158" s="42" t="s">
        <v>252</v>
      </c>
      <c r="F158" s="43">
        <v>1.77</v>
      </c>
      <c r="G158" s="155">
        <v>14004</v>
      </c>
      <c r="H158" s="121">
        <f t="shared" si="3"/>
        <v>16524.719999999998</v>
      </c>
    </row>
    <row r="159" spans="1:8" ht="15.75" thickBot="1" x14ac:dyDescent="0.3">
      <c r="A159" s="596" t="s">
        <v>253</v>
      </c>
      <c r="B159" s="602" t="s">
        <v>853</v>
      </c>
      <c r="C159" s="598">
        <v>1.1499999999999999</v>
      </c>
      <c r="D159" s="541" t="s">
        <v>16</v>
      </c>
      <c r="E159" s="105" t="s">
        <v>254</v>
      </c>
      <c r="F159" s="106">
        <v>2.88</v>
      </c>
      <c r="G159" s="161">
        <v>19057</v>
      </c>
      <c r="H159" s="126">
        <f t="shared" si="3"/>
        <v>22487.26</v>
      </c>
    </row>
    <row r="160" spans="1:8" ht="15.75" thickBot="1" x14ac:dyDescent="0.3">
      <c r="A160" s="77"/>
      <c r="B160" s="516"/>
      <c r="C160" s="636" t="s">
        <v>255</v>
      </c>
      <c r="D160" s="636"/>
      <c r="E160" s="636"/>
      <c r="F160" s="78"/>
      <c r="G160" s="163"/>
      <c r="H160" s="164"/>
    </row>
    <row r="161" spans="1:8" x14ac:dyDescent="0.25">
      <c r="A161" s="85" t="s">
        <v>239</v>
      </c>
      <c r="B161" s="170" t="s">
        <v>255</v>
      </c>
      <c r="C161" s="170">
        <v>7.0000000000000007E-2</v>
      </c>
      <c r="D161" s="169" t="s">
        <v>302</v>
      </c>
      <c r="E161" s="169" t="s">
        <v>256</v>
      </c>
      <c r="F161" s="170">
        <v>0.16900000000000001</v>
      </c>
      <c r="G161" s="171">
        <v>1604</v>
      </c>
      <c r="H161" s="172">
        <f t="shared" ref="H161:H171" si="4">G161*1.18</f>
        <v>1892.7199999999998</v>
      </c>
    </row>
    <row r="162" spans="1:8" x14ac:dyDescent="0.25">
      <c r="A162" s="90" t="s">
        <v>241</v>
      </c>
      <c r="B162" s="40" t="s">
        <v>255</v>
      </c>
      <c r="C162" s="40">
        <v>0.17</v>
      </c>
      <c r="D162" s="41" t="s">
        <v>302</v>
      </c>
      <c r="E162" s="41" t="s">
        <v>257</v>
      </c>
      <c r="F162" s="40">
        <v>0.41799999999999998</v>
      </c>
      <c r="G162" s="165">
        <v>3078.8</v>
      </c>
      <c r="H162" s="173">
        <f t="shared" si="4"/>
        <v>3632.9839999999999</v>
      </c>
    </row>
    <row r="163" spans="1:8" x14ac:dyDescent="0.25">
      <c r="A163" s="174" t="s">
        <v>243</v>
      </c>
      <c r="B163" s="40" t="s">
        <v>255</v>
      </c>
      <c r="C163" s="542">
        <v>0.19</v>
      </c>
      <c r="D163" s="41" t="s">
        <v>302</v>
      </c>
      <c r="E163" s="166" t="s">
        <v>258</v>
      </c>
      <c r="F163" s="40">
        <v>0.46700000000000003</v>
      </c>
      <c r="G163" s="167">
        <v>5502</v>
      </c>
      <c r="H163" s="173">
        <f t="shared" si="4"/>
        <v>6492.36</v>
      </c>
    </row>
    <row r="164" spans="1:8" x14ac:dyDescent="0.25">
      <c r="A164" s="90" t="s">
        <v>245</v>
      </c>
      <c r="B164" s="40" t="s">
        <v>255</v>
      </c>
      <c r="C164" s="40">
        <v>0.21</v>
      </c>
      <c r="D164" s="41" t="s">
        <v>302</v>
      </c>
      <c r="E164" s="41" t="s">
        <v>259</v>
      </c>
      <c r="F164" s="40">
        <v>0.52300000000000002</v>
      </c>
      <c r="G164" s="168">
        <v>5792</v>
      </c>
      <c r="H164" s="110">
        <f t="shared" si="4"/>
        <v>6834.5599999999995</v>
      </c>
    </row>
    <row r="165" spans="1:8" x14ac:dyDescent="0.25">
      <c r="A165" s="175" t="s">
        <v>247</v>
      </c>
      <c r="B165" s="40" t="s">
        <v>255</v>
      </c>
      <c r="C165" s="542">
        <v>0.32</v>
      </c>
      <c r="D165" s="41" t="s">
        <v>16</v>
      </c>
      <c r="E165" s="166" t="s">
        <v>260</v>
      </c>
      <c r="F165" s="40">
        <v>0.80900000000000005</v>
      </c>
      <c r="G165" s="167">
        <v>6726</v>
      </c>
      <c r="H165" s="173">
        <f t="shared" si="4"/>
        <v>7936.6799999999994</v>
      </c>
    </row>
    <row r="166" spans="1:8" x14ac:dyDescent="0.25">
      <c r="A166" s="90" t="s">
        <v>249</v>
      </c>
      <c r="B166" s="40" t="s">
        <v>255</v>
      </c>
      <c r="C166" s="40">
        <v>0.38</v>
      </c>
      <c r="D166" s="41" t="s">
        <v>302</v>
      </c>
      <c r="E166" s="41" t="s">
        <v>261</v>
      </c>
      <c r="F166" s="40">
        <v>0.96</v>
      </c>
      <c r="G166" s="165">
        <v>11200</v>
      </c>
      <c r="H166" s="173">
        <f t="shared" si="4"/>
        <v>13216</v>
      </c>
    </row>
    <row r="167" spans="1:8" x14ac:dyDescent="0.25">
      <c r="A167" s="90" t="s">
        <v>251</v>
      </c>
      <c r="B167" s="40" t="s">
        <v>255</v>
      </c>
      <c r="C167" s="40">
        <v>0.41</v>
      </c>
      <c r="D167" s="41" t="s">
        <v>302</v>
      </c>
      <c r="E167" s="41" t="s">
        <v>262</v>
      </c>
      <c r="F167" s="40">
        <v>1.02</v>
      </c>
      <c r="G167" s="165">
        <v>11934</v>
      </c>
      <c r="H167" s="173">
        <f t="shared" si="4"/>
        <v>14082.119999999999</v>
      </c>
    </row>
    <row r="168" spans="1:8" x14ac:dyDescent="0.25">
      <c r="A168" s="175" t="s">
        <v>253</v>
      </c>
      <c r="B168" s="40" t="s">
        <v>255</v>
      </c>
      <c r="C168" s="542">
        <v>0.19</v>
      </c>
      <c r="D168" s="41" t="s">
        <v>36</v>
      </c>
      <c r="E168" s="166" t="s">
        <v>263</v>
      </c>
      <c r="F168" s="40">
        <v>0.46899999999999997</v>
      </c>
      <c r="G168" s="167">
        <v>2334</v>
      </c>
      <c r="H168" s="173">
        <f t="shared" si="4"/>
        <v>2754.12</v>
      </c>
    </row>
    <row r="169" spans="1:8" x14ac:dyDescent="0.25">
      <c r="A169" s="90" t="s">
        <v>264</v>
      </c>
      <c r="B169" s="40" t="s">
        <v>255</v>
      </c>
      <c r="C169" s="40">
        <v>0.28999999999999998</v>
      </c>
      <c r="D169" s="41" t="s">
        <v>36</v>
      </c>
      <c r="E169" s="41" t="s">
        <v>265</v>
      </c>
      <c r="F169" s="40">
        <v>0.71299999999999997</v>
      </c>
      <c r="G169" s="165">
        <v>3784</v>
      </c>
      <c r="H169" s="173">
        <f t="shared" si="4"/>
        <v>4465.12</v>
      </c>
    </row>
    <row r="170" spans="1:8" x14ac:dyDescent="0.25">
      <c r="A170" s="90" t="s">
        <v>266</v>
      </c>
      <c r="B170" s="40" t="s">
        <v>255</v>
      </c>
      <c r="C170" s="40">
        <v>0.32</v>
      </c>
      <c r="D170" s="41" t="s">
        <v>36</v>
      </c>
      <c r="E170" s="41" t="s">
        <v>267</v>
      </c>
      <c r="F170" s="40">
        <v>0.79400000000000004</v>
      </c>
      <c r="G170" s="165">
        <v>5080</v>
      </c>
      <c r="H170" s="173">
        <f t="shared" si="4"/>
        <v>5994.4</v>
      </c>
    </row>
    <row r="171" spans="1:8" x14ac:dyDescent="0.25">
      <c r="A171" s="90" t="s">
        <v>268</v>
      </c>
      <c r="B171" s="40" t="s">
        <v>255</v>
      </c>
      <c r="C171" s="40">
        <v>0.82</v>
      </c>
      <c r="D171" s="41" t="s">
        <v>16</v>
      </c>
      <c r="E171" s="41" t="s">
        <v>269</v>
      </c>
      <c r="F171" s="603">
        <v>2.04</v>
      </c>
      <c r="G171" s="165">
        <v>16114</v>
      </c>
      <c r="H171" s="173">
        <f t="shared" si="4"/>
        <v>19014.52</v>
      </c>
    </row>
    <row r="172" spans="1:8" x14ac:dyDescent="0.25">
      <c r="A172" s="90" t="s">
        <v>270</v>
      </c>
      <c r="B172" s="40" t="s">
        <v>255</v>
      </c>
      <c r="C172" s="40">
        <v>0.85</v>
      </c>
      <c r="D172" s="41" t="s">
        <v>302</v>
      </c>
      <c r="E172" s="41" t="s">
        <v>271</v>
      </c>
      <c r="F172" s="40">
        <v>2.1349999999999998</v>
      </c>
      <c r="G172" s="165">
        <v>14084</v>
      </c>
      <c r="H172" s="173">
        <f>G172*1.18</f>
        <v>16619.12</v>
      </c>
    </row>
    <row r="173" spans="1:8" ht="15.75" thickBot="1" x14ac:dyDescent="0.3">
      <c r="A173" s="91" t="s">
        <v>272</v>
      </c>
      <c r="B173" s="93" t="s">
        <v>255</v>
      </c>
      <c r="C173" s="93">
        <v>0.87</v>
      </c>
      <c r="D173" s="94" t="s">
        <v>302</v>
      </c>
      <c r="E173" s="94" t="s">
        <v>841</v>
      </c>
      <c r="F173" s="93">
        <v>2.17</v>
      </c>
      <c r="G173" s="176">
        <v>19182</v>
      </c>
      <c r="H173" s="177">
        <f>G173*1.18</f>
        <v>22634.76</v>
      </c>
    </row>
    <row r="174" spans="1:8" x14ac:dyDescent="0.25">
      <c r="A174" s="643" t="s">
        <v>854</v>
      </c>
      <c r="B174" s="644"/>
      <c r="C174" s="644"/>
      <c r="D174" s="644"/>
      <c r="E174" s="644"/>
      <c r="F174" s="644"/>
      <c r="G174" s="644"/>
      <c r="H174" s="645"/>
    </row>
    <row r="175" spans="1:8" ht="15.75" thickBot="1" x14ac:dyDescent="0.3">
      <c r="A175" s="646"/>
      <c r="B175" s="647"/>
      <c r="C175" s="648"/>
      <c r="D175" s="648"/>
      <c r="E175" s="648"/>
      <c r="F175" s="648"/>
      <c r="G175" s="648"/>
      <c r="H175" s="649"/>
    </row>
    <row r="176" spans="1:8" ht="15.75" customHeight="1" x14ac:dyDescent="0.25">
      <c r="A176" s="605" t="s">
        <v>273</v>
      </c>
      <c r="B176" s="611" t="s">
        <v>855</v>
      </c>
      <c r="C176" s="608">
        <v>0.16</v>
      </c>
      <c r="D176" s="194" t="s">
        <v>36</v>
      </c>
      <c r="E176" s="194" t="s">
        <v>618</v>
      </c>
      <c r="F176" s="193">
        <v>0.38</v>
      </c>
      <c r="G176" s="236">
        <f>1616*1.125*1.04*1.06*1.06*1.04*1.015*1.05</f>
        <v>2354.6568720729601</v>
      </c>
      <c r="H176" s="195">
        <f t="shared" ref="H176:H202" si="5">G176*1.18</f>
        <v>2778.4951090460927</v>
      </c>
    </row>
    <row r="177" spans="1:8" x14ac:dyDescent="0.25">
      <c r="A177" s="606" t="s">
        <v>274</v>
      </c>
      <c r="B177" s="612" t="s">
        <v>855</v>
      </c>
      <c r="C177" s="609">
        <v>0.11</v>
      </c>
      <c r="D177" s="187" t="s">
        <v>36</v>
      </c>
      <c r="E177" s="187" t="s">
        <v>618</v>
      </c>
      <c r="F177" s="186">
        <v>0.26</v>
      </c>
      <c r="G177" s="237">
        <v>1770</v>
      </c>
      <c r="H177" s="197">
        <f t="shared" si="5"/>
        <v>2088.6</v>
      </c>
    </row>
    <row r="178" spans="1:8" x14ac:dyDescent="0.25">
      <c r="A178" s="606" t="s">
        <v>275</v>
      </c>
      <c r="B178" s="612" t="s">
        <v>855</v>
      </c>
      <c r="C178" s="609">
        <v>0.05</v>
      </c>
      <c r="D178" s="187" t="s">
        <v>36</v>
      </c>
      <c r="E178" s="187" t="s">
        <v>856</v>
      </c>
      <c r="F178" s="186">
        <v>0.13</v>
      </c>
      <c r="G178" s="237">
        <v>1002</v>
      </c>
      <c r="H178" s="197">
        <f t="shared" si="5"/>
        <v>1182.3599999999999</v>
      </c>
    </row>
    <row r="179" spans="1:8" x14ac:dyDescent="0.25">
      <c r="A179" s="606" t="s">
        <v>276</v>
      </c>
      <c r="B179" s="612" t="s">
        <v>855</v>
      </c>
      <c r="C179" s="609">
        <v>0.24</v>
      </c>
      <c r="D179" s="187" t="s">
        <v>36</v>
      </c>
      <c r="E179" s="187" t="s">
        <v>857</v>
      </c>
      <c r="F179" s="186">
        <v>0.60000000000000009</v>
      </c>
      <c r="G179" s="237">
        <v>3112</v>
      </c>
      <c r="H179" s="197">
        <f t="shared" si="5"/>
        <v>3672.16</v>
      </c>
    </row>
    <row r="180" spans="1:8" x14ac:dyDescent="0.25">
      <c r="A180" s="606" t="s">
        <v>277</v>
      </c>
      <c r="B180" s="612" t="s">
        <v>855</v>
      </c>
      <c r="C180" s="609">
        <v>0.16</v>
      </c>
      <c r="D180" s="187" t="s">
        <v>36</v>
      </c>
      <c r="E180" s="187" t="s">
        <v>858</v>
      </c>
      <c r="F180" s="186">
        <v>0.4</v>
      </c>
      <c r="G180" s="237">
        <v>2496</v>
      </c>
      <c r="H180" s="197">
        <f t="shared" si="5"/>
        <v>2945.2799999999997</v>
      </c>
    </row>
    <row r="181" spans="1:8" x14ac:dyDescent="0.25">
      <c r="A181" s="607" t="s">
        <v>278</v>
      </c>
      <c r="B181" s="612" t="s">
        <v>855</v>
      </c>
      <c r="C181" s="610">
        <v>0.08</v>
      </c>
      <c r="D181" s="189" t="s">
        <v>36</v>
      </c>
      <c r="E181" s="189" t="s">
        <v>859</v>
      </c>
      <c r="F181" s="188">
        <v>0.2</v>
      </c>
      <c r="G181" s="238">
        <f>940*1.08*1.04*1.06*1.06*1.04</f>
        <v>1233.7581035520002</v>
      </c>
      <c r="H181" s="198">
        <f t="shared" si="5"/>
        <v>1455.8345621913602</v>
      </c>
    </row>
    <row r="182" spans="1:8" x14ac:dyDescent="0.25">
      <c r="A182" s="606" t="s">
        <v>279</v>
      </c>
      <c r="B182" s="612" t="s">
        <v>855</v>
      </c>
      <c r="C182" s="609">
        <v>0.4</v>
      </c>
      <c r="D182" s="187" t="s">
        <v>36</v>
      </c>
      <c r="E182" s="187" t="s">
        <v>860</v>
      </c>
      <c r="F182" s="190">
        <v>1</v>
      </c>
      <c r="G182" s="237">
        <v>3998</v>
      </c>
      <c r="H182" s="197">
        <f t="shared" si="5"/>
        <v>4717.6399999999994</v>
      </c>
    </row>
    <row r="183" spans="1:8" x14ac:dyDescent="0.25">
      <c r="A183" s="606" t="s">
        <v>280</v>
      </c>
      <c r="B183" s="612" t="s">
        <v>855</v>
      </c>
      <c r="C183" s="609">
        <v>0.24</v>
      </c>
      <c r="D183" s="187" t="s">
        <v>36</v>
      </c>
      <c r="E183" s="187" t="s">
        <v>861</v>
      </c>
      <c r="F183" s="186">
        <v>0.66</v>
      </c>
      <c r="G183" s="237">
        <v>2892</v>
      </c>
      <c r="H183" s="197">
        <f t="shared" si="5"/>
        <v>3412.56</v>
      </c>
    </row>
    <row r="184" spans="1:8" x14ac:dyDescent="0.25">
      <c r="A184" s="606" t="s">
        <v>281</v>
      </c>
      <c r="B184" s="612" t="s">
        <v>855</v>
      </c>
      <c r="C184" s="609">
        <v>0.1</v>
      </c>
      <c r="D184" s="187" t="s">
        <v>36</v>
      </c>
      <c r="E184" s="187" t="s">
        <v>282</v>
      </c>
      <c r="F184" s="186">
        <v>0.25</v>
      </c>
      <c r="G184" s="239">
        <v>2382</v>
      </c>
      <c r="H184" s="197">
        <f t="shared" si="5"/>
        <v>2810.7599999999998</v>
      </c>
    </row>
    <row r="185" spans="1:8" x14ac:dyDescent="0.25">
      <c r="A185" s="606" t="s">
        <v>283</v>
      </c>
      <c r="B185" s="612" t="s">
        <v>855</v>
      </c>
      <c r="C185" s="609">
        <v>0.1</v>
      </c>
      <c r="D185" s="187" t="s">
        <v>36</v>
      </c>
      <c r="E185" s="187" t="s">
        <v>282</v>
      </c>
      <c r="F185" s="186">
        <v>0.25</v>
      </c>
      <c r="G185" s="239">
        <v>2690</v>
      </c>
      <c r="H185" s="197">
        <f t="shared" si="5"/>
        <v>3174.2</v>
      </c>
    </row>
    <row r="186" spans="1:8" x14ac:dyDescent="0.25">
      <c r="A186" s="606" t="s">
        <v>284</v>
      </c>
      <c r="B186" s="612" t="s">
        <v>855</v>
      </c>
      <c r="C186" s="609">
        <v>0.27</v>
      </c>
      <c r="D186" s="187" t="s">
        <v>36</v>
      </c>
      <c r="E186" s="187" t="s">
        <v>619</v>
      </c>
      <c r="F186" s="186">
        <v>0.68</v>
      </c>
      <c r="G186" s="239">
        <v>4407.2</v>
      </c>
      <c r="H186" s="197">
        <f t="shared" si="5"/>
        <v>5200.4959999999992</v>
      </c>
    </row>
    <row r="187" spans="1:8" ht="15.75" thickBot="1" x14ac:dyDescent="0.3">
      <c r="A187" s="606" t="s">
        <v>286</v>
      </c>
      <c r="B187" s="613" t="s">
        <v>855</v>
      </c>
      <c r="C187" s="609">
        <v>0.27</v>
      </c>
      <c r="D187" s="187" t="s">
        <v>36</v>
      </c>
      <c r="E187" s="187" t="s">
        <v>285</v>
      </c>
      <c r="F187" s="186">
        <v>0.68</v>
      </c>
      <c r="G187" s="239">
        <v>4556</v>
      </c>
      <c r="H187" s="197">
        <f t="shared" si="5"/>
        <v>5376.08</v>
      </c>
    </row>
    <row r="188" spans="1:8" ht="15.75" thickBot="1" x14ac:dyDescent="0.3">
      <c r="A188" s="572">
        <v>1</v>
      </c>
      <c r="B188" s="604">
        <v>2</v>
      </c>
      <c r="C188" s="573">
        <v>3</v>
      </c>
      <c r="D188" s="573">
        <v>4</v>
      </c>
      <c r="E188" s="574">
        <v>5</v>
      </c>
      <c r="F188" s="573">
        <v>6</v>
      </c>
      <c r="G188" s="574">
        <v>7</v>
      </c>
      <c r="H188" s="575">
        <v>8</v>
      </c>
    </row>
    <row r="189" spans="1:8" x14ac:dyDescent="0.25">
      <c r="A189" s="196" t="s">
        <v>287</v>
      </c>
      <c r="B189" s="612" t="s">
        <v>855</v>
      </c>
      <c r="C189" s="186">
        <v>0.21</v>
      </c>
      <c r="D189" s="187" t="s">
        <v>36</v>
      </c>
      <c r="E189" s="187" t="s">
        <v>288</v>
      </c>
      <c r="F189" s="186">
        <v>0.52</v>
      </c>
      <c r="G189" s="239">
        <v>4692</v>
      </c>
      <c r="H189" s="197">
        <f t="shared" si="5"/>
        <v>5536.5599999999995</v>
      </c>
    </row>
    <row r="190" spans="1:8" x14ac:dyDescent="0.25">
      <c r="A190" s="196" t="s">
        <v>289</v>
      </c>
      <c r="B190" s="612" t="s">
        <v>855</v>
      </c>
      <c r="C190" s="186">
        <v>0.21</v>
      </c>
      <c r="D190" s="187" t="s">
        <v>36</v>
      </c>
      <c r="E190" s="187" t="s">
        <v>288</v>
      </c>
      <c r="F190" s="186">
        <v>0.52</v>
      </c>
      <c r="G190" s="239">
        <v>4764</v>
      </c>
      <c r="H190" s="197">
        <f t="shared" si="5"/>
        <v>5621.5199999999995</v>
      </c>
    </row>
    <row r="191" spans="1:8" ht="17.25" customHeight="1" x14ac:dyDescent="0.25">
      <c r="A191" s="196" t="s">
        <v>290</v>
      </c>
      <c r="B191" s="612" t="s">
        <v>855</v>
      </c>
      <c r="C191" s="186">
        <v>0.18</v>
      </c>
      <c r="D191" s="187" t="s">
        <v>36</v>
      </c>
      <c r="E191" s="187" t="s">
        <v>291</v>
      </c>
      <c r="F191" s="186">
        <v>0.45</v>
      </c>
      <c r="G191" s="240">
        <f>2309.17*1.06*1.04*1.025*1.04</f>
        <v>2713.6405225280005</v>
      </c>
      <c r="H191" s="197">
        <f t="shared" si="5"/>
        <v>3202.0958165830402</v>
      </c>
    </row>
    <row r="192" spans="1:8" ht="15.75" customHeight="1" x14ac:dyDescent="0.25">
      <c r="A192" s="196" t="s">
        <v>292</v>
      </c>
      <c r="B192" s="612" t="s">
        <v>855</v>
      </c>
      <c r="C192" s="186">
        <v>0.38</v>
      </c>
      <c r="D192" s="187" t="s">
        <v>36</v>
      </c>
      <c r="E192" s="187" t="s">
        <v>293</v>
      </c>
      <c r="F192" s="186">
        <v>0.95</v>
      </c>
      <c r="G192" s="240">
        <f>1396.13*1.1*1.2*1.13*1.03*1.1*1.04*1.06*1.06*1.05*1.14*1.065*1.05*0.97*0.932*0.97*1.1*1.04*1.06*1.06*1.04*1.025*1.02</f>
        <v>4523.1478428842847</v>
      </c>
      <c r="H192" s="197">
        <f t="shared" si="5"/>
        <v>5337.3144546034555</v>
      </c>
    </row>
    <row r="193" spans="1:8" ht="21.75" customHeight="1" x14ac:dyDescent="0.25">
      <c r="A193" s="199" t="s">
        <v>294</v>
      </c>
      <c r="B193" s="191" t="s">
        <v>295</v>
      </c>
      <c r="C193" s="186">
        <v>0.1</v>
      </c>
      <c r="D193" s="187" t="s">
        <v>36</v>
      </c>
      <c r="E193" s="187" t="s">
        <v>296</v>
      </c>
      <c r="F193" s="186">
        <v>0.22</v>
      </c>
      <c r="G193" s="240">
        <v>2006</v>
      </c>
      <c r="H193" s="197">
        <f t="shared" si="5"/>
        <v>2367.08</v>
      </c>
    </row>
    <row r="194" spans="1:8" ht="27" customHeight="1" x14ac:dyDescent="0.25">
      <c r="A194" s="200" t="s">
        <v>297</v>
      </c>
      <c r="B194" s="191" t="s">
        <v>295</v>
      </c>
      <c r="C194" s="186">
        <v>0.1</v>
      </c>
      <c r="D194" s="187" t="s">
        <v>36</v>
      </c>
      <c r="E194" s="189" t="s">
        <v>613</v>
      </c>
      <c r="F194" s="186">
        <v>0.22</v>
      </c>
      <c r="G194" s="240">
        <v>2260</v>
      </c>
      <c r="H194" s="197">
        <f t="shared" si="5"/>
        <v>2666.7999999999997</v>
      </c>
    </row>
    <row r="195" spans="1:8" ht="19.5" x14ac:dyDescent="0.25">
      <c r="A195" s="196" t="s">
        <v>298</v>
      </c>
      <c r="B195" s="191" t="s">
        <v>295</v>
      </c>
      <c r="C195" s="186">
        <v>0.123</v>
      </c>
      <c r="D195" s="187" t="s">
        <v>36</v>
      </c>
      <c r="E195" s="189" t="s">
        <v>843</v>
      </c>
      <c r="F195" s="186">
        <v>0.3</v>
      </c>
      <c r="G195" s="241">
        <v>2644</v>
      </c>
      <c r="H195" s="197">
        <f t="shared" si="5"/>
        <v>3119.9199999999996</v>
      </c>
    </row>
    <row r="196" spans="1:8" x14ac:dyDescent="0.25">
      <c r="A196" s="196" t="s">
        <v>299</v>
      </c>
      <c r="B196" s="191" t="s">
        <v>295</v>
      </c>
      <c r="C196" s="186">
        <v>0.154</v>
      </c>
      <c r="D196" s="187" t="s">
        <v>36</v>
      </c>
      <c r="E196" s="187" t="s">
        <v>614</v>
      </c>
      <c r="F196" s="186">
        <v>0.38</v>
      </c>
      <c r="G196" s="241">
        <v>3258</v>
      </c>
      <c r="H196" s="197">
        <f t="shared" si="5"/>
        <v>3844.4399999999996</v>
      </c>
    </row>
    <row r="197" spans="1:8" x14ac:dyDescent="0.25">
      <c r="A197" s="196" t="s">
        <v>300</v>
      </c>
      <c r="B197" s="191" t="s">
        <v>301</v>
      </c>
      <c r="C197" s="186">
        <v>0.85</v>
      </c>
      <c r="D197" s="187" t="s">
        <v>302</v>
      </c>
      <c r="E197" s="192" t="s">
        <v>615</v>
      </c>
      <c r="F197" s="186">
        <v>2.1</v>
      </c>
      <c r="G197" s="237">
        <v>12848.16</v>
      </c>
      <c r="H197" s="197">
        <f t="shared" si="5"/>
        <v>15160.828799999999</v>
      </c>
    </row>
    <row r="198" spans="1:8" x14ac:dyDescent="0.25">
      <c r="A198" s="196" t="s">
        <v>303</v>
      </c>
      <c r="B198" s="191" t="s">
        <v>304</v>
      </c>
      <c r="C198" s="186">
        <v>0.85</v>
      </c>
      <c r="D198" s="187" t="s">
        <v>127</v>
      </c>
      <c r="E198" s="192" t="s">
        <v>616</v>
      </c>
      <c r="F198" s="186">
        <v>2.1</v>
      </c>
      <c r="G198" s="237">
        <v>13424</v>
      </c>
      <c r="H198" s="197">
        <f t="shared" si="5"/>
        <v>15840.32</v>
      </c>
    </row>
    <row r="199" spans="1:8" x14ac:dyDescent="0.25">
      <c r="A199" s="196" t="s">
        <v>305</v>
      </c>
      <c r="B199" s="191" t="s">
        <v>301</v>
      </c>
      <c r="C199" s="186">
        <v>0.99</v>
      </c>
      <c r="D199" s="187" t="s">
        <v>302</v>
      </c>
      <c r="E199" s="187" t="s">
        <v>617</v>
      </c>
      <c r="F199" s="186">
        <v>2.5</v>
      </c>
      <c r="G199" s="237">
        <v>14982</v>
      </c>
      <c r="H199" s="197">
        <f t="shared" si="5"/>
        <v>17678.759999999998</v>
      </c>
    </row>
    <row r="200" spans="1:8" x14ac:dyDescent="0.25">
      <c r="A200" s="196" t="s">
        <v>306</v>
      </c>
      <c r="B200" s="191" t="s">
        <v>304</v>
      </c>
      <c r="C200" s="186">
        <v>0.99</v>
      </c>
      <c r="D200" s="187" t="s">
        <v>127</v>
      </c>
      <c r="E200" s="187" t="s">
        <v>617</v>
      </c>
      <c r="F200" s="186">
        <v>2.5</v>
      </c>
      <c r="G200" s="237">
        <v>15304</v>
      </c>
      <c r="H200" s="197">
        <f t="shared" si="5"/>
        <v>18058.719999999998</v>
      </c>
    </row>
    <row r="201" spans="1:8" ht="19.5" x14ac:dyDescent="0.25">
      <c r="A201" s="196" t="s">
        <v>862</v>
      </c>
      <c r="B201" s="191" t="s">
        <v>307</v>
      </c>
      <c r="C201" s="186">
        <v>0.02</v>
      </c>
      <c r="D201" s="187" t="s">
        <v>36</v>
      </c>
      <c r="E201" s="406" t="s">
        <v>839</v>
      </c>
      <c r="F201" s="186">
        <v>0.05</v>
      </c>
      <c r="G201" s="239">
        <v>1004</v>
      </c>
      <c r="H201" s="197">
        <f t="shared" si="5"/>
        <v>1184.72</v>
      </c>
    </row>
    <row r="202" spans="1:8" ht="20.25" thickBot="1" x14ac:dyDescent="0.3">
      <c r="A202" s="528" t="s">
        <v>863</v>
      </c>
      <c r="B202" s="422" t="s">
        <v>301</v>
      </c>
      <c r="C202" s="423">
        <v>0.02</v>
      </c>
      <c r="D202" s="424" t="s">
        <v>36</v>
      </c>
      <c r="E202" s="406" t="s">
        <v>839</v>
      </c>
      <c r="F202" s="423">
        <v>0.05</v>
      </c>
      <c r="G202" s="529">
        <v>1004</v>
      </c>
      <c r="H202" s="404">
        <f t="shared" si="5"/>
        <v>1184.72</v>
      </c>
    </row>
    <row r="203" spans="1:8" x14ac:dyDescent="0.25">
      <c r="A203" s="525"/>
      <c r="B203" s="526"/>
      <c r="C203" s="526"/>
      <c r="D203" s="526"/>
      <c r="E203" s="526"/>
      <c r="F203" s="526"/>
      <c r="G203" s="526"/>
      <c r="H203" s="527"/>
    </row>
    <row r="204" spans="1:8" ht="15.75" thickBot="1" x14ac:dyDescent="0.3">
      <c r="A204" s="637" t="s">
        <v>308</v>
      </c>
      <c r="B204" s="638"/>
      <c r="C204" s="638"/>
      <c r="D204" s="638"/>
      <c r="E204" s="638"/>
      <c r="F204" s="638"/>
      <c r="G204" s="638"/>
      <c r="H204" s="639"/>
    </row>
    <row r="205" spans="1:8" x14ac:dyDescent="0.25">
      <c r="A205" s="201" t="s">
        <v>309</v>
      </c>
      <c r="B205" s="202" t="s">
        <v>310</v>
      </c>
      <c r="C205" s="203">
        <v>0.7</v>
      </c>
      <c r="D205" s="204" t="s">
        <v>16</v>
      </c>
      <c r="E205" s="204" t="s">
        <v>311</v>
      </c>
      <c r="F205" s="203">
        <v>1.75</v>
      </c>
      <c r="G205" s="233">
        <v>9540</v>
      </c>
      <c r="H205" s="211">
        <f>G205*1.18</f>
        <v>11257.199999999999</v>
      </c>
    </row>
    <row r="206" spans="1:8" x14ac:dyDescent="0.25">
      <c r="A206" s="205" t="s">
        <v>312</v>
      </c>
      <c r="B206" s="181" t="s">
        <v>310</v>
      </c>
      <c r="C206" s="182">
        <v>0.22</v>
      </c>
      <c r="D206" s="183" t="s">
        <v>16</v>
      </c>
      <c r="E206" s="183" t="s">
        <v>313</v>
      </c>
      <c r="F206" s="182">
        <v>0.55000000000000004</v>
      </c>
      <c r="G206" s="234">
        <v>4102</v>
      </c>
      <c r="H206" s="212">
        <f>G206*1.18</f>
        <v>4840.3599999999997</v>
      </c>
    </row>
    <row r="207" spans="1:8" x14ac:dyDescent="0.25">
      <c r="A207" s="205" t="s">
        <v>314</v>
      </c>
      <c r="B207" s="181" t="s">
        <v>310</v>
      </c>
      <c r="C207" s="182">
        <v>0.36</v>
      </c>
      <c r="D207" s="183" t="s">
        <v>16</v>
      </c>
      <c r="E207" s="183" t="s">
        <v>315</v>
      </c>
      <c r="F207" s="182">
        <v>0.9</v>
      </c>
      <c r="G207" s="234">
        <f>6342*0.92</f>
        <v>5834.64</v>
      </c>
      <c r="H207" s="212">
        <f>G207*1.18</f>
        <v>6884.8752000000004</v>
      </c>
    </row>
    <row r="208" spans="1:8" ht="15.75" thickBot="1" x14ac:dyDescent="0.3">
      <c r="A208" s="206" t="s">
        <v>864</v>
      </c>
      <c r="B208" s="207" t="s">
        <v>310</v>
      </c>
      <c r="C208" s="208">
        <v>0.61</v>
      </c>
      <c r="D208" s="209" t="s">
        <v>16</v>
      </c>
      <c r="E208" s="209" t="s">
        <v>316</v>
      </c>
      <c r="F208" s="208">
        <v>1.53</v>
      </c>
      <c r="G208" s="235">
        <f>9674*0.87</f>
        <v>8416.3799999999992</v>
      </c>
      <c r="H208" s="213">
        <f>G208*1.18</f>
        <v>9931.3283999999985</v>
      </c>
    </row>
    <row r="209" spans="1:8" ht="15.75" thickBot="1" x14ac:dyDescent="0.3">
      <c r="A209" s="640" t="s">
        <v>317</v>
      </c>
      <c r="B209" s="641"/>
      <c r="C209" s="641"/>
      <c r="D209" s="641"/>
      <c r="E209" s="641"/>
      <c r="F209" s="641"/>
      <c r="G209" s="641"/>
      <c r="H209" s="642"/>
    </row>
    <row r="210" spans="1:8" x14ac:dyDescent="0.25">
      <c r="A210" s="201" t="s">
        <v>318</v>
      </c>
      <c r="B210" s="202" t="s">
        <v>319</v>
      </c>
      <c r="C210" s="203">
        <v>1.86</v>
      </c>
      <c r="D210" s="210" t="s">
        <v>127</v>
      </c>
      <c r="E210" s="204" t="s">
        <v>320</v>
      </c>
      <c r="F210" s="203">
        <v>4.55</v>
      </c>
      <c r="G210" s="230">
        <v>32664</v>
      </c>
      <c r="H210" s="211">
        <f t="shared" ref="H210:H215" si="6">G210*1.18</f>
        <v>38543.519999999997</v>
      </c>
    </row>
    <row r="211" spans="1:8" x14ac:dyDescent="0.25">
      <c r="A211" s="205" t="s">
        <v>321</v>
      </c>
      <c r="B211" s="181" t="s">
        <v>322</v>
      </c>
      <c r="C211" s="182">
        <v>1.82</v>
      </c>
      <c r="D211" s="184" t="s">
        <v>127</v>
      </c>
      <c r="E211" s="183" t="s">
        <v>320</v>
      </c>
      <c r="F211" s="182">
        <v>4.5</v>
      </c>
      <c r="G211" s="231">
        <v>33464</v>
      </c>
      <c r="H211" s="212">
        <f t="shared" si="6"/>
        <v>39487.519999999997</v>
      </c>
    </row>
    <row r="212" spans="1:8" x14ac:dyDescent="0.25">
      <c r="A212" s="205" t="s">
        <v>323</v>
      </c>
      <c r="B212" s="181" t="s">
        <v>324</v>
      </c>
      <c r="C212" s="182">
        <v>1.77</v>
      </c>
      <c r="D212" s="184" t="s">
        <v>127</v>
      </c>
      <c r="E212" s="183" t="s">
        <v>320</v>
      </c>
      <c r="F212" s="182">
        <v>4.5</v>
      </c>
      <c r="G212" s="231">
        <v>33612</v>
      </c>
      <c r="H212" s="212">
        <f t="shared" si="6"/>
        <v>39662.159999999996</v>
      </c>
    </row>
    <row r="213" spans="1:8" x14ac:dyDescent="0.25">
      <c r="A213" s="205" t="s">
        <v>325</v>
      </c>
      <c r="B213" s="181" t="s">
        <v>322</v>
      </c>
      <c r="C213" s="182">
        <v>1.08</v>
      </c>
      <c r="D213" s="184" t="s">
        <v>127</v>
      </c>
      <c r="E213" s="183" t="s">
        <v>326</v>
      </c>
      <c r="F213" s="182">
        <v>2.7</v>
      </c>
      <c r="G213" s="231">
        <v>20268</v>
      </c>
      <c r="H213" s="212">
        <f t="shared" si="6"/>
        <v>23916.239999999998</v>
      </c>
    </row>
    <row r="214" spans="1:8" x14ac:dyDescent="0.25">
      <c r="A214" s="205" t="s">
        <v>327</v>
      </c>
      <c r="B214" s="181" t="s">
        <v>319</v>
      </c>
      <c r="C214" s="182">
        <v>1.01</v>
      </c>
      <c r="D214" s="184" t="s">
        <v>127</v>
      </c>
      <c r="E214" s="183" t="s">
        <v>326</v>
      </c>
      <c r="F214" s="182">
        <v>2.6</v>
      </c>
      <c r="G214" s="231">
        <v>20416</v>
      </c>
      <c r="H214" s="212">
        <f t="shared" si="6"/>
        <v>24090.879999999997</v>
      </c>
    </row>
    <row r="215" spans="1:8" ht="15.75" thickBot="1" x14ac:dyDescent="0.3">
      <c r="A215" s="214" t="s">
        <v>328</v>
      </c>
      <c r="B215" s="215" t="s">
        <v>329</v>
      </c>
      <c r="C215" s="216">
        <v>1.04</v>
      </c>
      <c r="D215" s="217" t="s">
        <v>127</v>
      </c>
      <c r="E215" s="218" t="s">
        <v>326</v>
      </c>
      <c r="F215" s="216">
        <v>2.6</v>
      </c>
      <c r="G215" s="232">
        <v>20622</v>
      </c>
      <c r="H215" s="219">
        <f t="shared" si="6"/>
        <v>24333.96</v>
      </c>
    </row>
    <row r="216" spans="1:8" x14ac:dyDescent="0.25">
      <c r="A216" s="220"/>
      <c r="B216" s="221"/>
      <c r="C216" s="221"/>
      <c r="D216" s="221"/>
      <c r="E216" s="221"/>
      <c r="F216" s="221"/>
      <c r="G216" s="221"/>
      <c r="H216" s="222"/>
    </row>
    <row r="217" spans="1:8" ht="15.75" thickBot="1" x14ac:dyDescent="0.3">
      <c r="A217" s="637" t="s">
        <v>330</v>
      </c>
      <c r="B217" s="638"/>
      <c r="C217" s="638"/>
      <c r="D217" s="638"/>
      <c r="E217" s="638"/>
      <c r="F217" s="638"/>
      <c r="G217" s="638"/>
      <c r="H217" s="639"/>
    </row>
    <row r="218" spans="1:8" x14ac:dyDescent="0.25">
      <c r="A218" s="95" t="s">
        <v>366</v>
      </c>
      <c r="B218" s="96" t="s">
        <v>331</v>
      </c>
      <c r="C218" s="64">
        <v>0.12</v>
      </c>
      <c r="D218" s="97" t="s">
        <v>36</v>
      </c>
      <c r="E218" s="97" t="s">
        <v>332</v>
      </c>
      <c r="F218" s="589">
        <v>0.3</v>
      </c>
      <c r="G218" s="137">
        <f>1498*0.98*1.1*1.04*1.06*1.04*1.02*1.06*1.012</f>
        <v>2025.7678184520034</v>
      </c>
      <c r="H218" s="224">
        <f t="shared" ref="H218:H235" si="7">G218*1.18</f>
        <v>2390.406025773364</v>
      </c>
    </row>
    <row r="219" spans="1:8" x14ac:dyDescent="0.25">
      <c r="A219" s="68" t="s">
        <v>333</v>
      </c>
      <c r="B219" s="7" t="s">
        <v>331</v>
      </c>
      <c r="C219" s="6">
        <v>1.31</v>
      </c>
      <c r="D219" s="9" t="s">
        <v>16</v>
      </c>
      <c r="E219" s="223" t="s">
        <v>334</v>
      </c>
      <c r="F219" s="34">
        <v>3.28</v>
      </c>
      <c r="G219" s="131">
        <f>39242.23*1.18*0.98</f>
        <v>45379.714771999999</v>
      </c>
      <c r="H219" s="225">
        <f t="shared" si="7"/>
        <v>53548.063430959999</v>
      </c>
    </row>
    <row r="220" spans="1:8" x14ac:dyDescent="0.25">
      <c r="A220" s="68" t="s">
        <v>335</v>
      </c>
      <c r="B220" s="7" t="s">
        <v>331</v>
      </c>
      <c r="C220" s="6">
        <v>0.875</v>
      </c>
      <c r="D220" s="9" t="s">
        <v>16</v>
      </c>
      <c r="E220" s="9" t="s">
        <v>336</v>
      </c>
      <c r="F220" s="6">
        <v>2.19</v>
      </c>
      <c r="G220" s="131">
        <f>26330.41*1.18*0.98</f>
        <v>30448.486123999999</v>
      </c>
      <c r="H220" s="225">
        <f t="shared" si="7"/>
        <v>35929.213626319994</v>
      </c>
    </row>
    <row r="221" spans="1:8" x14ac:dyDescent="0.25">
      <c r="A221" s="66" t="s">
        <v>337</v>
      </c>
      <c r="B221" s="7" t="s">
        <v>338</v>
      </c>
      <c r="C221" s="6">
        <v>0.32</v>
      </c>
      <c r="D221" s="9" t="s">
        <v>36</v>
      </c>
      <c r="E221" s="9" t="s">
        <v>339</v>
      </c>
      <c r="F221" s="6">
        <v>0.8</v>
      </c>
      <c r="G221" s="229">
        <v>7492</v>
      </c>
      <c r="H221" s="225">
        <f t="shared" si="7"/>
        <v>8840.56</v>
      </c>
    </row>
    <row r="222" spans="1:8" x14ac:dyDescent="0.25">
      <c r="A222" s="66" t="s">
        <v>340</v>
      </c>
      <c r="B222" s="7" t="s">
        <v>338</v>
      </c>
      <c r="C222" s="6">
        <v>0.27</v>
      </c>
      <c r="D222" s="9" t="s">
        <v>36</v>
      </c>
      <c r="E222" s="9" t="s">
        <v>341</v>
      </c>
      <c r="F222" s="6">
        <v>0.7</v>
      </c>
      <c r="G222" s="229">
        <v>6101</v>
      </c>
      <c r="H222" s="225">
        <f t="shared" si="7"/>
        <v>7199.1799999999994</v>
      </c>
    </row>
    <row r="223" spans="1:8" x14ac:dyDescent="0.25">
      <c r="A223" s="66" t="s">
        <v>342</v>
      </c>
      <c r="B223" s="7" t="s">
        <v>338</v>
      </c>
      <c r="C223" s="6">
        <v>0.22</v>
      </c>
      <c r="D223" s="9" t="s">
        <v>36</v>
      </c>
      <c r="E223" s="9" t="s">
        <v>343</v>
      </c>
      <c r="F223" s="6">
        <v>0.5</v>
      </c>
      <c r="G223" s="229">
        <v>4718.3999999999996</v>
      </c>
      <c r="H223" s="225">
        <f t="shared" si="7"/>
        <v>5567.7119999999995</v>
      </c>
    </row>
    <row r="224" spans="1:8" x14ac:dyDescent="0.25">
      <c r="A224" s="66" t="s">
        <v>344</v>
      </c>
      <c r="B224" s="7" t="s">
        <v>338</v>
      </c>
      <c r="C224" s="6">
        <v>0.19</v>
      </c>
      <c r="D224" s="9" t="s">
        <v>36</v>
      </c>
      <c r="E224" s="9" t="s">
        <v>345</v>
      </c>
      <c r="F224" s="6">
        <v>0.5</v>
      </c>
      <c r="G224" s="229">
        <v>4562</v>
      </c>
      <c r="H224" s="225">
        <f t="shared" si="7"/>
        <v>5383.16</v>
      </c>
    </row>
    <row r="225" spans="1:8" x14ac:dyDescent="0.25">
      <c r="A225" s="66" t="s">
        <v>346</v>
      </c>
      <c r="B225" s="7" t="s">
        <v>338</v>
      </c>
      <c r="C225" s="6">
        <v>0.14000000000000001</v>
      </c>
      <c r="D225" s="9" t="s">
        <v>36</v>
      </c>
      <c r="E225" s="9" t="s">
        <v>347</v>
      </c>
      <c r="F225" s="6">
        <v>0.4</v>
      </c>
      <c r="G225" s="229">
        <v>3622</v>
      </c>
      <c r="H225" s="225">
        <f t="shared" si="7"/>
        <v>4273.96</v>
      </c>
    </row>
    <row r="226" spans="1:8" x14ac:dyDescent="0.25">
      <c r="A226" s="66" t="s">
        <v>348</v>
      </c>
      <c r="B226" s="7" t="s">
        <v>338</v>
      </c>
      <c r="C226" s="6">
        <v>0.14000000000000001</v>
      </c>
      <c r="D226" s="9" t="s">
        <v>36</v>
      </c>
      <c r="E226" s="9" t="s">
        <v>347</v>
      </c>
      <c r="F226" s="6">
        <v>0.4</v>
      </c>
      <c r="G226" s="229">
        <v>3864</v>
      </c>
      <c r="H226" s="225">
        <f t="shared" si="7"/>
        <v>4559.5199999999995</v>
      </c>
    </row>
    <row r="227" spans="1:8" x14ac:dyDescent="0.25">
      <c r="A227" s="66" t="s">
        <v>349</v>
      </c>
      <c r="B227" s="7" t="s">
        <v>350</v>
      </c>
      <c r="C227" s="6">
        <v>0.12</v>
      </c>
      <c r="D227" s="9" t="s">
        <v>36</v>
      </c>
      <c r="E227" s="9" t="s">
        <v>351</v>
      </c>
      <c r="F227" s="6">
        <v>0.30000000000000004</v>
      </c>
      <c r="G227" s="130">
        <f>2788*1.04*1.06*1.012</f>
        <v>3110.3730943999999</v>
      </c>
      <c r="H227" s="225">
        <f t="shared" si="7"/>
        <v>3670.2402513919997</v>
      </c>
    </row>
    <row r="228" spans="1:8" x14ac:dyDescent="0.25">
      <c r="A228" s="66" t="s">
        <v>352</v>
      </c>
      <c r="B228" s="7" t="s">
        <v>353</v>
      </c>
      <c r="C228" s="6">
        <v>0.2</v>
      </c>
      <c r="D228" s="6" t="s">
        <v>127</v>
      </c>
      <c r="E228" s="9" t="s">
        <v>354</v>
      </c>
      <c r="F228" s="6">
        <v>0.5</v>
      </c>
      <c r="G228" s="130">
        <f>3888.3*1.06*1.05*1.08*1.06*1.05*0.97*0.98*1.05*1.04*1.06*1.045*1.02*1.06*1.012</f>
        <v>6544.899815293621</v>
      </c>
      <c r="H228" s="225">
        <f t="shared" si="7"/>
        <v>7722.9817820464723</v>
      </c>
    </row>
    <row r="229" spans="1:8" x14ac:dyDescent="0.25">
      <c r="A229" s="66" t="s">
        <v>355</v>
      </c>
      <c r="B229" s="7" t="s">
        <v>356</v>
      </c>
      <c r="C229" s="6">
        <v>0.27500000000000002</v>
      </c>
      <c r="D229" s="6" t="s">
        <v>127</v>
      </c>
      <c r="E229" s="9" t="s">
        <v>357</v>
      </c>
      <c r="F229" s="6">
        <v>0.76</v>
      </c>
      <c r="G229" s="130">
        <f>5454.43*1.06*1.05*1.05*1.06*1.05*0.97*0.98*1.05*1.04*1.06*1.045*1.02*1.06*1.012</f>
        <v>8926.0261302684357</v>
      </c>
      <c r="H229" s="225">
        <f t="shared" si="7"/>
        <v>10532.710833716754</v>
      </c>
    </row>
    <row r="230" spans="1:8" x14ac:dyDescent="0.25">
      <c r="A230" s="66" t="s">
        <v>358</v>
      </c>
      <c r="B230" s="7" t="s">
        <v>356</v>
      </c>
      <c r="C230" s="6">
        <v>0.08</v>
      </c>
      <c r="D230" s="6" t="s">
        <v>127</v>
      </c>
      <c r="E230" s="9" t="s">
        <v>359</v>
      </c>
      <c r="F230" s="6">
        <v>0.2</v>
      </c>
      <c r="G230" s="130">
        <v>1960</v>
      </c>
      <c r="H230" s="225">
        <f t="shared" si="7"/>
        <v>2312.7999999999997</v>
      </c>
    </row>
    <row r="231" spans="1:8" x14ac:dyDescent="0.25">
      <c r="A231" s="66" t="s">
        <v>360</v>
      </c>
      <c r="B231" s="7" t="s">
        <v>361</v>
      </c>
      <c r="C231" s="6">
        <v>0.2</v>
      </c>
      <c r="D231" s="6" t="s">
        <v>127</v>
      </c>
      <c r="E231" s="9" t="s">
        <v>354</v>
      </c>
      <c r="F231" s="6">
        <v>0.5</v>
      </c>
      <c r="G231" s="130">
        <v>3647</v>
      </c>
      <c r="H231" s="225">
        <f t="shared" si="7"/>
        <v>4303.46</v>
      </c>
    </row>
    <row r="232" spans="1:8" x14ac:dyDescent="0.25">
      <c r="A232" s="66" t="s">
        <v>362</v>
      </c>
      <c r="B232" s="7" t="s">
        <v>865</v>
      </c>
      <c r="C232" s="6">
        <v>0.2</v>
      </c>
      <c r="D232" s="6">
        <v>22.5</v>
      </c>
      <c r="E232" s="9" t="s">
        <v>363</v>
      </c>
      <c r="F232" s="6">
        <v>0.24</v>
      </c>
      <c r="G232" s="130">
        <f>7037*1.05*1.012</f>
        <v>7477.5162</v>
      </c>
      <c r="H232" s="225">
        <f t="shared" si="7"/>
        <v>8823.4691160000002</v>
      </c>
    </row>
    <row r="233" spans="1:8" ht="15.75" thickBot="1" x14ac:dyDescent="0.3">
      <c r="A233" s="69"/>
      <c r="B233" s="70"/>
      <c r="C233" s="72"/>
      <c r="D233" s="72"/>
      <c r="E233" s="71"/>
      <c r="F233" s="72"/>
      <c r="G233" s="581"/>
      <c r="H233" s="284"/>
    </row>
    <row r="234" spans="1:8" ht="15.75" thickBot="1" x14ac:dyDescent="0.3">
      <c r="A234" s="572">
        <v>1</v>
      </c>
      <c r="B234" s="573">
        <v>2</v>
      </c>
      <c r="C234" s="573">
        <v>3</v>
      </c>
      <c r="D234" s="573">
        <v>4</v>
      </c>
      <c r="E234" s="574">
        <v>5</v>
      </c>
      <c r="F234" s="573">
        <v>6</v>
      </c>
      <c r="G234" s="574">
        <v>7</v>
      </c>
      <c r="H234" s="575">
        <v>8</v>
      </c>
    </row>
    <row r="235" spans="1:8" x14ac:dyDescent="0.25">
      <c r="A235" s="66" t="s">
        <v>364</v>
      </c>
      <c r="B235" s="7" t="s">
        <v>350</v>
      </c>
      <c r="C235" s="6">
        <v>0.05</v>
      </c>
      <c r="D235" s="9" t="s">
        <v>16</v>
      </c>
      <c r="E235" s="9" t="s">
        <v>365</v>
      </c>
      <c r="F235" s="6">
        <v>0.125</v>
      </c>
      <c r="G235" s="130">
        <v>929</v>
      </c>
      <c r="H235" s="226">
        <f t="shared" si="7"/>
        <v>1096.22</v>
      </c>
    </row>
    <row r="236" spans="1:8" ht="15.75" thickBot="1" x14ac:dyDescent="0.3">
      <c r="A236" s="69" t="s">
        <v>141</v>
      </c>
      <c r="B236" s="70" t="s">
        <v>142</v>
      </c>
      <c r="C236" s="72">
        <v>0.03</v>
      </c>
      <c r="D236" s="72" t="s">
        <v>127</v>
      </c>
      <c r="E236" s="71" t="s">
        <v>143</v>
      </c>
      <c r="F236" s="73"/>
      <c r="G236" s="227">
        <v>727</v>
      </c>
      <c r="H236" s="228">
        <f>G236*1.18</f>
        <v>857.8599999999999</v>
      </c>
    </row>
    <row r="237" spans="1:8" x14ac:dyDescent="0.25">
      <c r="A237" s="79"/>
      <c r="B237" s="80"/>
      <c r="C237" s="83"/>
      <c r="D237" s="83"/>
      <c r="E237" s="82"/>
      <c r="F237" s="84"/>
      <c r="G237" s="242"/>
      <c r="H237" s="243"/>
    </row>
    <row r="238" spans="1:8" ht="15.75" thickBot="1" x14ac:dyDescent="0.3">
      <c r="A238" s="244"/>
      <c r="B238" s="245" t="s">
        <v>387</v>
      </c>
      <c r="C238" s="245"/>
      <c r="D238" s="245"/>
      <c r="E238" s="245"/>
      <c r="F238" s="245"/>
      <c r="G238" s="246"/>
      <c r="H238" s="116"/>
    </row>
    <row r="239" spans="1:8" x14ac:dyDescent="0.25">
      <c r="A239" s="343" t="s">
        <v>367</v>
      </c>
      <c r="B239" s="313" t="s">
        <v>368</v>
      </c>
      <c r="C239" s="305">
        <v>7.0000000000000007E-2</v>
      </c>
      <c r="D239" s="305" t="s">
        <v>36</v>
      </c>
      <c r="E239" s="306" t="s">
        <v>369</v>
      </c>
      <c r="F239" s="305">
        <v>0.17500000000000002</v>
      </c>
      <c r="G239" s="344">
        <f>1052*1.04*1.06*1.06*1.045*1.025*1.03*1.08</f>
        <v>1464.7447351982014</v>
      </c>
      <c r="H239" s="315">
        <f t="shared" ref="H239:H248" si="8">G239*1.18</f>
        <v>1728.3987875338776</v>
      </c>
    </row>
    <row r="240" spans="1:8" x14ac:dyDescent="0.25">
      <c r="A240" s="345" t="s">
        <v>370</v>
      </c>
      <c r="B240" s="10" t="s">
        <v>368</v>
      </c>
      <c r="C240" s="11">
        <v>0.11</v>
      </c>
      <c r="D240" s="11" t="s">
        <v>36</v>
      </c>
      <c r="E240" s="12" t="s">
        <v>371</v>
      </c>
      <c r="F240" s="11">
        <v>0.215</v>
      </c>
      <c r="G240" s="229">
        <f>1332*1.04*1.06*1.06*1.045*1.025*1.03*1.08*1.04</f>
        <v>1928.7847783035788</v>
      </c>
      <c r="H240" s="342">
        <f t="shared" si="8"/>
        <v>2275.9660383982227</v>
      </c>
    </row>
    <row r="241" spans="1:9" x14ac:dyDescent="0.25">
      <c r="A241" s="345" t="s">
        <v>372</v>
      </c>
      <c r="B241" s="10" t="s">
        <v>368</v>
      </c>
      <c r="C241" s="11">
        <v>0.01</v>
      </c>
      <c r="D241" s="11" t="s">
        <v>36</v>
      </c>
      <c r="E241" s="12" t="s">
        <v>373</v>
      </c>
      <c r="F241" s="11">
        <v>0.02</v>
      </c>
      <c r="G241" s="131">
        <v>236</v>
      </c>
      <c r="H241" s="342">
        <f t="shared" si="8"/>
        <v>278.47999999999996</v>
      </c>
    </row>
    <row r="242" spans="1:9" x14ac:dyDescent="0.25">
      <c r="A242" s="345" t="s">
        <v>374</v>
      </c>
      <c r="B242" s="10" t="s">
        <v>368</v>
      </c>
      <c r="C242" s="11">
        <v>0.02</v>
      </c>
      <c r="D242" s="11" t="s">
        <v>36</v>
      </c>
      <c r="E242" s="12" t="s">
        <v>375</v>
      </c>
      <c r="F242" s="11">
        <v>0.04</v>
      </c>
      <c r="G242" s="229">
        <f>286*1.04*1.1*1.06*1.06*1.025*1.03*1.07*1.04</f>
        <v>431.89879781569675</v>
      </c>
      <c r="H242" s="342">
        <f t="shared" si="8"/>
        <v>509.64058142252213</v>
      </c>
    </row>
    <row r="243" spans="1:9" x14ac:dyDescent="0.25">
      <c r="A243" s="345" t="s">
        <v>141</v>
      </c>
      <c r="B243" s="10" t="s">
        <v>368</v>
      </c>
      <c r="C243" s="11">
        <v>0.03</v>
      </c>
      <c r="D243" s="11" t="s">
        <v>36</v>
      </c>
      <c r="E243" s="12" t="s">
        <v>376</v>
      </c>
      <c r="F243" s="11">
        <v>7.2999999999999995E-2</v>
      </c>
      <c r="G243" s="131">
        <v>727</v>
      </c>
      <c r="H243" s="342">
        <f t="shared" si="8"/>
        <v>857.8599999999999</v>
      </c>
    </row>
    <row r="244" spans="1:9" x14ac:dyDescent="0.25">
      <c r="A244" s="345" t="s">
        <v>377</v>
      </c>
      <c r="B244" s="10" t="s">
        <v>368</v>
      </c>
      <c r="C244" s="11">
        <v>0.4</v>
      </c>
      <c r="D244" s="11" t="s">
        <v>16</v>
      </c>
      <c r="E244" s="12" t="s">
        <v>378</v>
      </c>
      <c r="F244" s="11">
        <v>1</v>
      </c>
      <c r="G244" s="131">
        <f>9348</f>
        <v>9348</v>
      </c>
      <c r="H244" s="342">
        <f t="shared" si="8"/>
        <v>11030.64</v>
      </c>
    </row>
    <row r="245" spans="1:9" x14ac:dyDescent="0.25">
      <c r="A245" s="345" t="s">
        <v>379</v>
      </c>
      <c r="B245" s="10" t="s">
        <v>368</v>
      </c>
      <c r="C245" s="11">
        <v>0.22</v>
      </c>
      <c r="D245" s="11" t="s">
        <v>36</v>
      </c>
      <c r="E245" s="12" t="s">
        <v>380</v>
      </c>
      <c r="F245" s="11">
        <v>0.43</v>
      </c>
      <c r="G245" s="135">
        <f>4060*1.04</f>
        <v>4222.4000000000005</v>
      </c>
      <c r="H245" s="342">
        <f t="shared" si="8"/>
        <v>4982.4320000000007</v>
      </c>
    </row>
    <row r="246" spans="1:9" x14ac:dyDescent="0.25">
      <c r="A246" s="345" t="s">
        <v>381</v>
      </c>
      <c r="B246" s="10" t="s">
        <v>368</v>
      </c>
      <c r="C246" s="11">
        <v>0.38200000000000001</v>
      </c>
      <c r="D246" s="11" t="s">
        <v>36</v>
      </c>
      <c r="E246" s="12" t="s">
        <v>382</v>
      </c>
      <c r="F246" s="11">
        <v>0.75</v>
      </c>
      <c r="G246" s="135">
        <f>6964*1.04</f>
        <v>7242.56</v>
      </c>
      <c r="H246" s="342">
        <f t="shared" si="8"/>
        <v>8546.2207999999991</v>
      </c>
    </row>
    <row r="247" spans="1:9" x14ac:dyDescent="0.25">
      <c r="A247" s="345" t="s">
        <v>383</v>
      </c>
      <c r="B247" s="10" t="s">
        <v>368</v>
      </c>
      <c r="C247" s="11">
        <v>0.61</v>
      </c>
      <c r="D247" s="11" t="s">
        <v>36</v>
      </c>
      <c r="E247" s="12" t="s">
        <v>384</v>
      </c>
      <c r="F247" s="11">
        <v>1.2</v>
      </c>
      <c r="G247" s="135">
        <f>11221*1.04</f>
        <v>11669.84</v>
      </c>
      <c r="H247" s="342">
        <f t="shared" si="8"/>
        <v>13770.411199999999</v>
      </c>
    </row>
    <row r="248" spans="1:9" ht="17.25" customHeight="1" thickBot="1" x14ac:dyDescent="0.3">
      <c r="A248" s="346" t="s">
        <v>385</v>
      </c>
      <c r="B248" s="178" t="s">
        <v>368</v>
      </c>
      <c r="C248" s="179">
        <v>0.83</v>
      </c>
      <c r="D248" s="179" t="s">
        <v>36</v>
      </c>
      <c r="E248" s="180" t="s">
        <v>386</v>
      </c>
      <c r="F248" s="179">
        <v>2.1</v>
      </c>
      <c r="G248" s="136">
        <f>15424*1.04</f>
        <v>16040.960000000001</v>
      </c>
      <c r="H248" s="347">
        <f t="shared" si="8"/>
        <v>18928.3328</v>
      </c>
      <c r="I248" s="416"/>
    </row>
    <row r="249" spans="1:9" ht="24" customHeight="1" x14ac:dyDescent="0.25">
      <c r="A249" s="247"/>
      <c r="B249" s="248"/>
      <c r="C249" s="411"/>
      <c r="D249" s="411"/>
      <c r="E249" s="249"/>
      <c r="F249" s="411"/>
      <c r="G249" s="250"/>
      <c r="H249" s="251"/>
      <c r="I249" s="416"/>
    </row>
    <row r="250" spans="1:9" ht="24.75" customHeight="1" thickBot="1" x14ac:dyDescent="0.3">
      <c r="A250" s="252"/>
      <c r="B250" s="412" t="s">
        <v>403</v>
      </c>
      <c r="C250" s="253"/>
      <c r="D250" s="253"/>
      <c r="E250" s="253"/>
      <c r="F250" s="253"/>
      <c r="G250" s="551"/>
      <c r="H250" s="552"/>
      <c r="I250" s="416"/>
    </row>
    <row r="251" spans="1:9" ht="26.25" customHeight="1" x14ac:dyDescent="0.25">
      <c r="A251" s="67" t="s">
        <v>388</v>
      </c>
      <c r="B251" s="25" t="s">
        <v>389</v>
      </c>
      <c r="C251" s="26">
        <v>1</v>
      </c>
      <c r="D251" s="26" t="s">
        <v>11</v>
      </c>
      <c r="E251" s="27" t="s">
        <v>390</v>
      </c>
      <c r="F251" s="26">
        <v>2.5</v>
      </c>
      <c r="G251" s="132">
        <f>24536*1.04*1.08*1.06</f>
        <v>29212.365312000005</v>
      </c>
      <c r="H251" s="311">
        <f t="shared" ref="H251:H257" si="9">G251*1.18</f>
        <v>34470.591068160007</v>
      </c>
      <c r="I251" s="416"/>
    </row>
    <row r="252" spans="1:9" ht="24" customHeight="1" x14ac:dyDescent="0.25">
      <c r="A252" s="348" t="s">
        <v>391</v>
      </c>
      <c r="B252" s="7" t="s">
        <v>389</v>
      </c>
      <c r="C252" s="6">
        <v>1.2</v>
      </c>
      <c r="D252" s="6" t="s">
        <v>11</v>
      </c>
      <c r="E252" s="9" t="s">
        <v>392</v>
      </c>
      <c r="F252" s="6">
        <v>3</v>
      </c>
      <c r="G252" s="134">
        <v>34530</v>
      </c>
      <c r="H252" s="342">
        <f t="shared" si="9"/>
        <v>40745.4</v>
      </c>
      <c r="I252" s="416"/>
    </row>
    <row r="253" spans="1:9" ht="28.5" customHeight="1" x14ac:dyDescent="0.25">
      <c r="A253" s="349" t="s">
        <v>393</v>
      </c>
      <c r="B253" s="7" t="s">
        <v>389</v>
      </c>
      <c r="C253" s="6">
        <v>1.17</v>
      </c>
      <c r="D253" s="6" t="s">
        <v>11</v>
      </c>
      <c r="E253" s="9" t="s">
        <v>394</v>
      </c>
      <c r="F253" s="6">
        <v>2.9</v>
      </c>
      <c r="G253" s="131">
        <v>23486</v>
      </c>
      <c r="H253" s="342">
        <f t="shared" si="9"/>
        <v>27713.48</v>
      </c>
      <c r="I253" s="416"/>
    </row>
    <row r="254" spans="1:9" ht="28.5" customHeight="1" x14ac:dyDescent="0.25">
      <c r="A254" s="349" t="s">
        <v>395</v>
      </c>
      <c r="B254" s="7" t="s">
        <v>396</v>
      </c>
      <c r="C254" s="6">
        <v>1</v>
      </c>
      <c r="D254" s="6" t="s">
        <v>11</v>
      </c>
      <c r="E254" s="9" t="s">
        <v>390</v>
      </c>
      <c r="F254" s="6">
        <v>2.5</v>
      </c>
      <c r="G254" s="131">
        <v>34202</v>
      </c>
      <c r="H254" s="342">
        <f t="shared" si="9"/>
        <v>40358.36</v>
      </c>
      <c r="I254" s="416"/>
    </row>
    <row r="255" spans="1:9" ht="23.25" x14ac:dyDescent="0.25">
      <c r="A255" s="349" t="s">
        <v>397</v>
      </c>
      <c r="B255" s="7" t="s">
        <v>396</v>
      </c>
      <c r="C255" s="6">
        <v>1.2</v>
      </c>
      <c r="D255" s="6" t="s">
        <v>11</v>
      </c>
      <c r="E255" s="9" t="s">
        <v>392</v>
      </c>
      <c r="F255" s="6">
        <v>3</v>
      </c>
      <c r="G255" s="131">
        <v>36790</v>
      </c>
      <c r="H255" s="342">
        <f t="shared" si="9"/>
        <v>43412.2</v>
      </c>
    </row>
    <row r="256" spans="1:9" ht="23.25" x14ac:dyDescent="0.25">
      <c r="A256" s="349" t="s">
        <v>398</v>
      </c>
      <c r="B256" s="7" t="s">
        <v>399</v>
      </c>
      <c r="C256" s="6">
        <v>1.7000000000000002</v>
      </c>
      <c r="D256" s="6" t="s">
        <v>11</v>
      </c>
      <c r="E256" s="9" t="s">
        <v>400</v>
      </c>
      <c r="F256" s="6">
        <v>4.3</v>
      </c>
      <c r="G256" s="134">
        <v>53412</v>
      </c>
      <c r="H256" s="342">
        <f t="shared" si="9"/>
        <v>63026.159999999996</v>
      </c>
    </row>
    <row r="257" spans="1:8" ht="24" thickBot="1" x14ac:dyDescent="0.3">
      <c r="A257" s="350" t="s">
        <v>401</v>
      </c>
      <c r="B257" s="37" t="s">
        <v>389</v>
      </c>
      <c r="C257" s="38">
        <v>2.5</v>
      </c>
      <c r="D257" s="38" t="s">
        <v>11</v>
      </c>
      <c r="E257" s="39" t="s">
        <v>402</v>
      </c>
      <c r="F257" s="38">
        <v>6.5</v>
      </c>
      <c r="G257" s="133">
        <f>45165.25*1.15*1.04*1.025*1.045*1.04*1.04*1.1*1.09</f>
        <v>75034.607596914342</v>
      </c>
      <c r="H257" s="347">
        <f t="shared" si="9"/>
        <v>88540.836964358925</v>
      </c>
    </row>
    <row r="258" spans="1:8" x14ac:dyDescent="0.25">
      <c r="A258" s="254"/>
      <c r="B258" s="413"/>
      <c r="C258" s="255"/>
      <c r="D258" s="255"/>
      <c r="E258" s="256"/>
      <c r="F258" s="255"/>
      <c r="G258" s="150"/>
      <c r="H258" s="251"/>
    </row>
    <row r="259" spans="1:8" ht="15.75" thickBot="1" x14ac:dyDescent="0.3">
      <c r="A259" s="257" t="s">
        <v>877</v>
      </c>
      <c r="B259" s="258"/>
      <c r="C259" s="258"/>
      <c r="D259" s="258"/>
      <c r="E259" s="258"/>
      <c r="F259" s="258"/>
      <c r="G259" s="246"/>
      <c r="H259" s="116"/>
    </row>
    <row r="260" spans="1:8" x14ac:dyDescent="0.25">
      <c r="A260" s="351" t="s">
        <v>404</v>
      </c>
      <c r="B260" s="538" t="s">
        <v>405</v>
      </c>
      <c r="C260" s="58">
        <v>0.27</v>
      </c>
      <c r="D260" s="58" t="s">
        <v>16</v>
      </c>
      <c r="E260" s="259" t="s">
        <v>406</v>
      </c>
      <c r="F260" s="26">
        <v>0.67500000000000004</v>
      </c>
      <c r="G260" s="260">
        <f>4180.86*1.08*1.07*1.1*1.04*1.06*1.04*1.02*1.06*1.01</f>
        <v>6653.7395643655154</v>
      </c>
      <c r="H260" s="352">
        <f t="shared" ref="H260:H265" si="10">G260*1.18</f>
        <v>7851.412685951308</v>
      </c>
    </row>
    <row r="261" spans="1:8" x14ac:dyDescent="0.25">
      <c r="A261" s="353" t="s">
        <v>407</v>
      </c>
      <c r="B261" s="1" t="s">
        <v>405</v>
      </c>
      <c r="C261" s="2">
        <v>0.20300000000000001</v>
      </c>
      <c r="D261" s="2" t="s">
        <v>16</v>
      </c>
      <c r="E261" s="261" t="s">
        <v>408</v>
      </c>
      <c r="F261" s="6">
        <v>0.51</v>
      </c>
      <c r="G261" s="262">
        <f>2481.74*1.07*1.05*1.1*1.07*0.98*1.1*1.04*1.06*1.04*1.025*1.02*1.07*1.01</f>
        <v>4582.7515558428631</v>
      </c>
      <c r="H261" s="225">
        <f t="shared" si="10"/>
        <v>5407.6468358945785</v>
      </c>
    </row>
    <row r="262" spans="1:8" x14ac:dyDescent="0.25">
      <c r="A262" s="353" t="s">
        <v>409</v>
      </c>
      <c r="B262" s="1" t="s">
        <v>405</v>
      </c>
      <c r="C262" s="2">
        <v>0.13</v>
      </c>
      <c r="D262" s="2" t="s">
        <v>16</v>
      </c>
      <c r="E262" s="261" t="s">
        <v>410</v>
      </c>
      <c r="F262" s="6">
        <v>0.32500000000000001</v>
      </c>
      <c r="G262" s="262">
        <f>2842*1</f>
        <v>2842</v>
      </c>
      <c r="H262" s="225">
        <f t="shared" si="10"/>
        <v>3353.56</v>
      </c>
    </row>
    <row r="263" spans="1:8" x14ac:dyDescent="0.25">
      <c r="A263" s="353" t="s">
        <v>411</v>
      </c>
      <c r="B263" s="1" t="s">
        <v>405</v>
      </c>
      <c r="C263" s="2">
        <v>0.13</v>
      </c>
      <c r="D263" s="2" t="s">
        <v>16</v>
      </c>
      <c r="E263" s="261" t="s">
        <v>412</v>
      </c>
      <c r="F263" s="6">
        <v>0.32500000000000001</v>
      </c>
      <c r="G263" s="262">
        <f>1471.76*1.07*1.05*1.1*1.1*1.05*0.9*0.97*1.1*1.04*1.06*1.04*1.025*1.02*1.05*1</f>
        <v>2539.0868159433553</v>
      </c>
      <c r="H263" s="225">
        <f t="shared" si="10"/>
        <v>2996.1224428131591</v>
      </c>
    </row>
    <row r="264" spans="1:8" x14ac:dyDescent="0.25">
      <c r="A264" s="353" t="s">
        <v>413</v>
      </c>
      <c r="B264" s="1" t="s">
        <v>405</v>
      </c>
      <c r="C264" s="2">
        <v>0.11</v>
      </c>
      <c r="D264" s="2" t="s">
        <v>16</v>
      </c>
      <c r="E264" s="261" t="s">
        <v>414</v>
      </c>
      <c r="F264" s="6">
        <v>0.25</v>
      </c>
      <c r="G264" s="262">
        <f>1207.65*1.18*1.05*1.1*1.09*1.05*0.9*0.98*1.1*1.04*1.06*1.04*1.025*1.02*1.05*0.95</f>
        <v>2185.2022041736782</v>
      </c>
      <c r="H264" s="225">
        <f t="shared" si="10"/>
        <v>2578.5386009249401</v>
      </c>
    </row>
    <row r="265" spans="1:8" x14ac:dyDescent="0.25">
      <c r="A265" s="354" t="s">
        <v>415</v>
      </c>
      <c r="B265" s="539" t="s">
        <v>405</v>
      </c>
      <c r="C265" s="263">
        <v>0.11</v>
      </c>
      <c r="D265" s="263" t="s">
        <v>16</v>
      </c>
      <c r="E265" s="264" t="s">
        <v>414</v>
      </c>
      <c r="F265" s="38">
        <v>0.25</v>
      </c>
      <c r="G265" s="265">
        <f>1097.06*1.15*1.05*1.1*1.09*1.05*0.9*0.98*1.1*1.04*1.06*1.04*1.03*1.02*1.05*0.95</f>
        <v>1944.0620257079343</v>
      </c>
      <c r="H265" s="226">
        <f t="shared" si="10"/>
        <v>2293.9931903353622</v>
      </c>
    </row>
    <row r="266" spans="1:8" ht="15.75" thickBot="1" x14ac:dyDescent="0.3">
      <c r="A266" s="269"/>
      <c r="B266" s="270" t="s">
        <v>419</v>
      </c>
      <c r="C266" s="271"/>
      <c r="D266" s="271"/>
      <c r="E266" s="271"/>
      <c r="F266" s="271"/>
      <c r="G266" s="272"/>
      <c r="H266" s="273"/>
    </row>
    <row r="267" spans="1:8" ht="15.75" thickBot="1" x14ac:dyDescent="0.3">
      <c r="A267" s="543"/>
      <c r="B267" s="514" t="s">
        <v>420</v>
      </c>
      <c r="C267" s="513"/>
      <c r="D267" s="513"/>
      <c r="E267" s="513"/>
      <c r="F267" s="513"/>
      <c r="G267" s="427"/>
      <c r="H267" s="185"/>
    </row>
    <row r="268" spans="1:8" x14ac:dyDescent="0.25">
      <c r="A268" s="418" t="s">
        <v>421</v>
      </c>
      <c r="B268" s="419" t="s">
        <v>416</v>
      </c>
      <c r="C268" s="193">
        <v>4.4999999999999998E-2</v>
      </c>
      <c r="D268" s="193" t="s">
        <v>11</v>
      </c>
      <c r="E268" s="194" t="s">
        <v>417</v>
      </c>
      <c r="F268" s="193">
        <v>0.12</v>
      </c>
      <c r="G268" s="407">
        <v>396</v>
      </c>
      <c r="H268" s="195">
        <f>G268*1.18</f>
        <v>467.28</v>
      </c>
    </row>
    <row r="269" spans="1:8" x14ac:dyDescent="0.25">
      <c r="A269" s="420" t="s">
        <v>620</v>
      </c>
      <c r="B269" s="191" t="s">
        <v>416</v>
      </c>
      <c r="C269" s="186">
        <v>5.3999999999999999E-2</v>
      </c>
      <c r="D269" s="186" t="s">
        <v>11</v>
      </c>
      <c r="E269" s="187" t="s">
        <v>418</v>
      </c>
      <c r="F269" s="186">
        <v>0.13500000000000001</v>
      </c>
      <c r="G269" s="397">
        <v>540</v>
      </c>
      <c r="H269" s="197">
        <f>G269*1.18</f>
        <v>637.19999999999993</v>
      </c>
    </row>
    <row r="270" spans="1:8" ht="15.75" thickBot="1" x14ac:dyDescent="0.3">
      <c r="A270" s="421" t="s">
        <v>422</v>
      </c>
      <c r="B270" s="422" t="s">
        <v>416</v>
      </c>
      <c r="C270" s="423">
        <v>5.3999999999999999E-2</v>
      </c>
      <c r="D270" s="423" t="s">
        <v>11</v>
      </c>
      <c r="E270" s="424" t="s">
        <v>418</v>
      </c>
      <c r="F270" s="423">
        <v>0.13500000000000001</v>
      </c>
      <c r="G270" s="425">
        <v>426</v>
      </c>
      <c r="H270" s="404">
        <f>G270*1.18</f>
        <v>502.67999999999995</v>
      </c>
    </row>
    <row r="271" spans="1:8" ht="15.75" thickBot="1" x14ac:dyDescent="0.3">
      <c r="A271" s="417"/>
      <c r="B271" s="258" t="s">
        <v>426</v>
      </c>
      <c r="C271" s="258"/>
      <c r="D271" s="258"/>
      <c r="E271" s="258"/>
      <c r="F271" s="258"/>
      <c r="G271" s="246"/>
      <c r="H271" s="116"/>
    </row>
    <row r="272" spans="1:8" x14ac:dyDescent="0.25">
      <c r="A272" s="355" t="s">
        <v>427</v>
      </c>
      <c r="B272" s="536" t="s">
        <v>423</v>
      </c>
      <c r="C272" s="287">
        <v>0.88</v>
      </c>
      <c r="D272" s="287" t="s">
        <v>127</v>
      </c>
      <c r="E272" s="291" t="s">
        <v>424</v>
      </c>
      <c r="F272" s="288">
        <v>2.2000000000000002</v>
      </c>
      <c r="G272" s="300">
        <v>8240</v>
      </c>
      <c r="H272" s="356">
        <f>G272*1.18</f>
        <v>9723.1999999999989</v>
      </c>
    </row>
    <row r="273" spans="1:8" x14ac:dyDescent="0.25">
      <c r="A273" s="357" t="s">
        <v>428</v>
      </c>
      <c r="B273" s="537" t="s">
        <v>423</v>
      </c>
      <c r="C273" s="289">
        <v>0.88</v>
      </c>
      <c r="D273" s="289" t="s">
        <v>127</v>
      </c>
      <c r="E273" s="292" t="s">
        <v>424</v>
      </c>
      <c r="F273" s="290">
        <v>2.2000000000000002</v>
      </c>
      <c r="G273" s="301">
        <v>8654</v>
      </c>
      <c r="H273" s="358">
        <f>G273*1.18</f>
        <v>10211.719999999999</v>
      </c>
    </row>
    <row r="274" spans="1:8" x14ac:dyDescent="0.25">
      <c r="A274" s="357" t="s">
        <v>429</v>
      </c>
      <c r="B274" s="537" t="s">
        <v>423</v>
      </c>
      <c r="C274" s="289">
        <v>0.88</v>
      </c>
      <c r="D274" s="289" t="s">
        <v>11</v>
      </c>
      <c r="E274" s="292" t="s">
        <v>424</v>
      </c>
      <c r="F274" s="290">
        <v>2.2000000000000002</v>
      </c>
      <c r="G274" s="301">
        <v>8984.1</v>
      </c>
      <c r="H274" s="358">
        <f>G274*1.18</f>
        <v>10601.237999999999</v>
      </c>
    </row>
    <row r="275" spans="1:8" x14ac:dyDescent="0.25">
      <c r="A275" s="357" t="s">
        <v>430</v>
      </c>
      <c r="B275" s="537" t="s">
        <v>423</v>
      </c>
      <c r="C275" s="289">
        <v>0.88</v>
      </c>
      <c r="D275" s="289" t="s">
        <v>11</v>
      </c>
      <c r="E275" s="292" t="s">
        <v>424</v>
      </c>
      <c r="F275" s="290">
        <v>2.2000000000000002</v>
      </c>
      <c r="G275" s="301">
        <v>9648.26</v>
      </c>
      <c r="H275" s="358">
        <f>G275*1.18</f>
        <v>11384.9468</v>
      </c>
    </row>
    <row r="276" spans="1:8" ht="15.75" thickBot="1" x14ac:dyDescent="0.3">
      <c r="A276" s="582" t="s">
        <v>431</v>
      </c>
      <c r="B276" s="583" t="s">
        <v>423</v>
      </c>
      <c r="C276" s="584">
        <v>1.63</v>
      </c>
      <c r="D276" s="584" t="s">
        <v>11</v>
      </c>
      <c r="E276" s="585" t="s">
        <v>425</v>
      </c>
      <c r="F276" s="586">
        <v>4.08</v>
      </c>
      <c r="G276" s="587">
        <v>19596.599999999999</v>
      </c>
      <c r="H276" s="588">
        <f>G276*1.18</f>
        <v>23123.987999999998</v>
      </c>
    </row>
    <row r="277" spans="1:8" ht="15.75" thickBot="1" x14ac:dyDescent="0.3">
      <c r="A277" s="572">
        <v>1</v>
      </c>
      <c r="B277" s="573">
        <v>2</v>
      </c>
      <c r="C277" s="573">
        <v>3</v>
      </c>
      <c r="D277" s="573">
        <v>4</v>
      </c>
      <c r="E277" s="574">
        <v>5</v>
      </c>
      <c r="F277" s="573">
        <v>6</v>
      </c>
      <c r="G277" s="574">
        <v>7</v>
      </c>
      <c r="H277" s="575">
        <v>8</v>
      </c>
    </row>
    <row r="278" spans="1:8" ht="15.75" thickBot="1" x14ac:dyDescent="0.3">
      <c r="A278" s="274"/>
      <c r="B278" s="286" t="s">
        <v>439</v>
      </c>
      <c r="C278" s="275"/>
      <c r="D278" s="275"/>
      <c r="E278" s="275"/>
      <c r="F278" s="275"/>
      <c r="G278" s="278"/>
      <c r="H278" s="279"/>
    </row>
    <row r="279" spans="1:8" x14ac:dyDescent="0.25">
      <c r="A279" s="359" t="s">
        <v>442</v>
      </c>
      <c r="B279" s="25" t="s">
        <v>432</v>
      </c>
      <c r="C279" s="26">
        <v>1.38</v>
      </c>
      <c r="D279" s="26" t="s">
        <v>127</v>
      </c>
      <c r="E279" s="294" t="s">
        <v>433</v>
      </c>
      <c r="F279" s="293">
        <v>3</v>
      </c>
      <c r="G279" s="260">
        <v>9510</v>
      </c>
      <c r="H279" s="311">
        <f>G279*1.18</f>
        <v>11221.8</v>
      </c>
    </row>
    <row r="280" spans="1:8" x14ac:dyDescent="0.25">
      <c r="A280" s="360" t="s">
        <v>434</v>
      </c>
      <c r="B280" s="7"/>
      <c r="C280" s="6"/>
      <c r="D280" s="6"/>
      <c r="E280" s="42"/>
      <c r="F280" s="43"/>
      <c r="G280" s="282"/>
      <c r="H280" s="342"/>
    </row>
    <row r="281" spans="1:8" x14ac:dyDescent="0.25">
      <c r="A281" s="360" t="s">
        <v>435</v>
      </c>
      <c r="B281" s="7" t="s">
        <v>432</v>
      </c>
      <c r="C281" s="6">
        <v>0.64</v>
      </c>
      <c r="D281" s="6" t="s">
        <v>127</v>
      </c>
      <c r="E281" s="42" t="s">
        <v>436</v>
      </c>
      <c r="F281" s="43">
        <v>1.57</v>
      </c>
      <c r="G281" s="282">
        <f>5374.91*1.025</f>
        <v>5509.2827499999994</v>
      </c>
      <c r="H281" s="311">
        <f t="shared" ref="H281:H284" si="11">G281*1.18</f>
        <v>6500.9536449999987</v>
      </c>
    </row>
    <row r="282" spans="1:8" x14ac:dyDescent="0.25">
      <c r="A282" s="360" t="s">
        <v>440</v>
      </c>
      <c r="B282" s="7" t="s">
        <v>866</v>
      </c>
      <c r="C282" s="6">
        <v>0.2</v>
      </c>
      <c r="D282" s="6" t="s">
        <v>36</v>
      </c>
      <c r="E282" s="42" t="s">
        <v>867</v>
      </c>
      <c r="F282" s="43">
        <v>0.5</v>
      </c>
      <c r="G282" s="299">
        <v>1788</v>
      </c>
      <c r="H282" s="311">
        <f t="shared" si="11"/>
        <v>2109.8399999999997</v>
      </c>
    </row>
    <row r="283" spans="1:8" x14ac:dyDescent="0.25">
      <c r="A283" s="360" t="s">
        <v>440</v>
      </c>
      <c r="B283" s="7" t="s">
        <v>866</v>
      </c>
      <c r="C283" s="6">
        <v>0.30000000000000004</v>
      </c>
      <c r="D283" s="6" t="s">
        <v>302</v>
      </c>
      <c r="E283" s="42" t="s">
        <v>437</v>
      </c>
      <c r="F283" s="43">
        <v>0.72</v>
      </c>
      <c r="G283" s="282">
        <v>2445</v>
      </c>
      <c r="H283" s="311">
        <f t="shared" si="11"/>
        <v>2885.1</v>
      </c>
    </row>
    <row r="284" spans="1:8" ht="15.75" thickBot="1" x14ac:dyDescent="0.3">
      <c r="A284" s="361" t="s">
        <v>441</v>
      </c>
      <c r="B284" s="7" t="s">
        <v>866</v>
      </c>
      <c r="C284" s="38">
        <v>0.4</v>
      </c>
      <c r="D284" s="38" t="s">
        <v>302</v>
      </c>
      <c r="E284" s="296" t="s">
        <v>438</v>
      </c>
      <c r="F284" s="295">
        <v>0.96</v>
      </c>
      <c r="G284" s="283">
        <v>3298</v>
      </c>
      <c r="H284" s="311">
        <f t="shared" si="11"/>
        <v>3891.64</v>
      </c>
    </row>
    <row r="285" spans="1:8" ht="15.75" thickBot="1" x14ac:dyDescent="0.3">
      <c r="A285" s="285" t="s">
        <v>629</v>
      </c>
      <c r="B285" s="275"/>
      <c r="C285" s="275"/>
      <c r="D285" s="275"/>
      <c r="E285" s="275"/>
      <c r="F285" s="275"/>
      <c r="G285" s="276"/>
      <c r="H285" s="277"/>
    </row>
    <row r="286" spans="1:8" x14ac:dyDescent="0.25">
      <c r="A286" s="359" t="s">
        <v>443</v>
      </c>
      <c r="B286" s="26" t="s">
        <v>444</v>
      </c>
      <c r="C286" s="26">
        <v>2.1999999999999999E-2</v>
      </c>
      <c r="D286" s="26" t="s">
        <v>127</v>
      </c>
      <c r="E286" s="297" t="s">
        <v>445</v>
      </c>
      <c r="F286" s="26">
        <v>0.06</v>
      </c>
      <c r="G286" s="298">
        <v>975.2</v>
      </c>
      <c r="H286" s="311">
        <f t="shared" ref="H286:H291" si="12">G286*1.18</f>
        <v>1150.7360000000001</v>
      </c>
    </row>
    <row r="287" spans="1:8" x14ac:dyDescent="0.25">
      <c r="A287" s="360" t="s">
        <v>446</v>
      </c>
      <c r="B287" s="6" t="s">
        <v>444</v>
      </c>
      <c r="C287" s="6">
        <v>0.1</v>
      </c>
      <c r="D287" s="6" t="s">
        <v>127</v>
      </c>
      <c r="E287" s="9" t="s">
        <v>447</v>
      </c>
      <c r="F287" s="6">
        <v>0.21</v>
      </c>
      <c r="G287" s="299">
        <v>1502</v>
      </c>
      <c r="H287" s="342">
        <f t="shared" si="12"/>
        <v>1772.36</v>
      </c>
    </row>
    <row r="288" spans="1:8" x14ac:dyDescent="0.25">
      <c r="A288" s="360" t="s">
        <v>448</v>
      </c>
      <c r="B288" s="6"/>
      <c r="C288" s="6">
        <v>7.9000000000000001E-2</v>
      </c>
      <c r="D288" s="6" t="s">
        <v>127</v>
      </c>
      <c r="E288" s="9" t="s">
        <v>449</v>
      </c>
      <c r="F288" s="6">
        <v>0.19</v>
      </c>
      <c r="G288" s="299">
        <v>1505.54</v>
      </c>
      <c r="H288" s="342">
        <f t="shared" si="12"/>
        <v>1776.5371999999998</v>
      </c>
    </row>
    <row r="289" spans="1:8" ht="26.25" customHeight="1" x14ac:dyDescent="0.25">
      <c r="A289" s="338" t="s">
        <v>450</v>
      </c>
      <c r="B289" s="6" t="s">
        <v>444</v>
      </c>
      <c r="C289" s="6">
        <v>0.159</v>
      </c>
      <c r="D289" s="6" t="s">
        <v>127</v>
      </c>
      <c r="E289" s="9" t="s">
        <v>451</v>
      </c>
      <c r="F289" s="6">
        <v>0.38</v>
      </c>
      <c r="G289" s="299">
        <f>1468.37*1.04</f>
        <v>1527.1047999999998</v>
      </c>
      <c r="H289" s="342">
        <f t="shared" si="12"/>
        <v>1801.9836639999996</v>
      </c>
    </row>
    <row r="290" spans="1:8" ht="26.25" customHeight="1" x14ac:dyDescent="0.25">
      <c r="A290" s="360" t="s">
        <v>452</v>
      </c>
      <c r="B290" s="6" t="s">
        <v>444</v>
      </c>
      <c r="C290" s="6">
        <v>0.1</v>
      </c>
      <c r="D290" s="6" t="s">
        <v>127</v>
      </c>
      <c r="E290" s="9" t="s">
        <v>453</v>
      </c>
      <c r="F290" s="6">
        <v>0.24</v>
      </c>
      <c r="G290" s="299">
        <f>1141.4*1.04</f>
        <v>1187.056</v>
      </c>
      <c r="H290" s="342">
        <f t="shared" si="12"/>
        <v>1400.7260799999999</v>
      </c>
    </row>
    <row r="291" spans="1:8" ht="15.75" thickBot="1" x14ac:dyDescent="0.3">
      <c r="A291" s="361" t="s">
        <v>454</v>
      </c>
      <c r="B291" s="38" t="s">
        <v>444</v>
      </c>
      <c r="C291" s="38">
        <v>0.1</v>
      </c>
      <c r="D291" s="38" t="s">
        <v>11</v>
      </c>
      <c r="E291" s="39"/>
      <c r="F291" s="38">
        <v>0.24</v>
      </c>
      <c r="G291" s="304">
        <f>1270*1.04</f>
        <v>1320.8</v>
      </c>
      <c r="H291" s="347">
        <f t="shared" si="12"/>
        <v>1558.5439999999999</v>
      </c>
    </row>
    <row r="292" spans="1:8" ht="15.75" thickBot="1" x14ac:dyDescent="0.3">
      <c r="A292" s="318"/>
      <c r="B292" s="319" t="s">
        <v>461</v>
      </c>
      <c r="C292" s="320"/>
      <c r="D292" s="320"/>
      <c r="E292" s="320"/>
      <c r="F292" s="320"/>
      <c r="G292" s="268"/>
      <c r="H292" s="164"/>
    </row>
    <row r="293" spans="1:8" ht="24" thickBot="1" x14ac:dyDescent="0.3">
      <c r="A293" s="324" t="s">
        <v>630</v>
      </c>
      <c r="B293" s="325" t="s">
        <v>868</v>
      </c>
      <c r="C293" s="326">
        <v>2.3E-2</v>
      </c>
      <c r="D293" s="326" t="s">
        <v>302</v>
      </c>
      <c r="E293" s="327" t="s">
        <v>455</v>
      </c>
      <c r="F293" s="616">
        <f>C293*2.5</f>
        <v>5.7499999999999996E-2</v>
      </c>
      <c r="G293" s="328">
        <v>406</v>
      </c>
      <c r="H293" s="414">
        <f>G293*1.18</f>
        <v>479.08</v>
      </c>
    </row>
    <row r="294" spans="1:8" ht="13.5" customHeight="1" thickBot="1" x14ac:dyDescent="0.3">
      <c r="A294" s="329" t="s">
        <v>456</v>
      </c>
      <c r="B294" s="330" t="s">
        <v>133</v>
      </c>
      <c r="C294" s="331">
        <v>2.3E-2</v>
      </c>
      <c r="D294" s="331" t="s">
        <v>302</v>
      </c>
      <c r="E294" s="332" t="s">
        <v>455</v>
      </c>
      <c r="F294" s="616">
        <f>C294*2.5</f>
        <v>5.7499999999999996E-2</v>
      </c>
      <c r="G294" s="333">
        <v>406</v>
      </c>
      <c r="H294" s="415">
        <f>G294*1.18</f>
        <v>479.08</v>
      </c>
    </row>
    <row r="295" spans="1:8" ht="15.75" thickBot="1" x14ac:dyDescent="0.3">
      <c r="A295" s="321"/>
      <c r="B295" s="258" t="s">
        <v>462</v>
      </c>
      <c r="C295" s="270"/>
      <c r="D295" s="270"/>
      <c r="E295" s="270"/>
      <c r="F295" s="270"/>
      <c r="G295" s="322"/>
      <c r="H295" s="323"/>
    </row>
    <row r="296" spans="1:8" x14ac:dyDescent="0.25">
      <c r="A296" s="312" t="s">
        <v>457</v>
      </c>
      <c r="B296" s="313" t="s">
        <v>458</v>
      </c>
      <c r="C296" s="305">
        <v>1.7500000000000002E-2</v>
      </c>
      <c r="D296" s="305" t="s">
        <v>11</v>
      </c>
      <c r="E296" s="306" t="s">
        <v>459</v>
      </c>
      <c r="F296" s="614">
        <v>4.4999999999999998E-2</v>
      </c>
      <c r="G296" s="314">
        <v>275</v>
      </c>
      <c r="H296" s="315">
        <f>G296*1.18</f>
        <v>324.5</v>
      </c>
    </row>
    <row r="297" spans="1:8" ht="15.75" thickBot="1" x14ac:dyDescent="0.3">
      <c r="A297" s="307" t="s">
        <v>460</v>
      </c>
      <c r="B297" s="308" t="s">
        <v>458</v>
      </c>
      <c r="C297" s="309">
        <v>2.3E-2</v>
      </c>
      <c r="D297" s="309" t="s">
        <v>11</v>
      </c>
      <c r="E297" s="310" t="s">
        <v>455</v>
      </c>
      <c r="F297" s="615">
        <v>0.06</v>
      </c>
      <c r="G297" s="316">
        <v>390</v>
      </c>
      <c r="H297" s="317">
        <f>G297*1.18</f>
        <v>460.2</v>
      </c>
    </row>
    <row r="298" spans="1:8" x14ac:dyDescent="0.25">
      <c r="A298" s="266"/>
      <c r="B298" s="267"/>
      <c r="C298" s="267"/>
      <c r="D298" s="267"/>
      <c r="E298" s="267"/>
      <c r="F298" s="267"/>
      <c r="G298" s="268"/>
      <c r="H298" s="164"/>
    </row>
    <row r="299" spans="1:8" ht="15.75" thickBot="1" x14ac:dyDescent="0.3">
      <c r="A299" s="269"/>
      <c r="B299" s="258" t="s">
        <v>480</v>
      </c>
      <c r="C299" s="271"/>
      <c r="D299" s="271"/>
      <c r="E299" s="271"/>
      <c r="F299" s="271"/>
      <c r="G299" s="272"/>
      <c r="H299" s="273"/>
    </row>
    <row r="300" spans="1:8" x14ac:dyDescent="0.25">
      <c r="A300" s="336" t="s">
        <v>463</v>
      </c>
      <c r="B300" s="531" t="s">
        <v>464</v>
      </c>
      <c r="C300" s="64">
        <v>0.56000000000000005</v>
      </c>
      <c r="D300" s="64" t="s">
        <v>127</v>
      </c>
      <c r="E300" s="104" t="s">
        <v>465</v>
      </c>
      <c r="F300" s="103">
        <v>1.4</v>
      </c>
      <c r="G300" s="337">
        <v>6024</v>
      </c>
      <c r="H300" s="224">
        <f t="shared" ref="H300:H306" si="13">G300*1.18</f>
        <v>7108.32</v>
      </c>
    </row>
    <row r="301" spans="1:8" x14ac:dyDescent="0.25">
      <c r="A301" s="338" t="s">
        <v>466</v>
      </c>
      <c r="B301" s="334" t="s">
        <v>467</v>
      </c>
      <c r="C301" s="6">
        <v>0.62</v>
      </c>
      <c r="D301" s="6" t="s">
        <v>127</v>
      </c>
      <c r="E301" s="42" t="s">
        <v>468</v>
      </c>
      <c r="F301" s="43">
        <v>1.55</v>
      </c>
      <c r="G301" s="282">
        <v>7281</v>
      </c>
      <c r="H301" s="225">
        <f t="shared" si="13"/>
        <v>8591.58</v>
      </c>
    </row>
    <row r="302" spans="1:8" x14ac:dyDescent="0.25">
      <c r="A302" s="338" t="s">
        <v>469</v>
      </c>
      <c r="B302" s="334" t="s">
        <v>470</v>
      </c>
      <c r="C302" s="6">
        <v>0.62</v>
      </c>
      <c r="D302" s="6" t="s">
        <v>127</v>
      </c>
      <c r="E302" s="42" t="s">
        <v>468</v>
      </c>
      <c r="F302" s="43">
        <v>1.55</v>
      </c>
      <c r="G302" s="282">
        <v>7360</v>
      </c>
      <c r="H302" s="225">
        <f t="shared" si="13"/>
        <v>8684.7999999999993</v>
      </c>
    </row>
    <row r="303" spans="1:8" x14ac:dyDescent="0.25">
      <c r="A303" s="338" t="s">
        <v>471</v>
      </c>
      <c r="B303" s="334" t="s">
        <v>470</v>
      </c>
      <c r="C303" s="6">
        <v>0.32</v>
      </c>
      <c r="D303" s="6" t="s">
        <v>127</v>
      </c>
      <c r="E303" s="42" t="s">
        <v>472</v>
      </c>
      <c r="F303" s="43">
        <f>C303*2.5</f>
        <v>0.8</v>
      </c>
      <c r="G303" s="282">
        <f>2968*0.95</f>
        <v>2819.6</v>
      </c>
      <c r="H303" s="225">
        <f t="shared" si="13"/>
        <v>3327.1279999999997</v>
      </c>
    </row>
    <row r="304" spans="1:8" ht="22.5" x14ac:dyDescent="0.25">
      <c r="A304" s="338" t="s">
        <v>473</v>
      </c>
      <c r="B304" s="530" t="s">
        <v>474</v>
      </c>
      <c r="C304" s="6">
        <v>0.253</v>
      </c>
      <c r="D304" s="6"/>
      <c r="E304" s="335" t="s">
        <v>475</v>
      </c>
      <c r="F304" s="43">
        <v>0.625</v>
      </c>
      <c r="G304" s="282">
        <f>2342.74*1.04</f>
        <v>2436.4495999999999</v>
      </c>
      <c r="H304" s="225">
        <f t="shared" si="13"/>
        <v>2875.0105279999998</v>
      </c>
    </row>
    <row r="305" spans="1:9" x14ac:dyDescent="0.25">
      <c r="A305" s="338" t="s">
        <v>478</v>
      </c>
      <c r="B305" s="334" t="s">
        <v>467</v>
      </c>
      <c r="C305" s="6">
        <v>0.61</v>
      </c>
      <c r="D305" s="6"/>
      <c r="E305" s="42" t="s">
        <v>476</v>
      </c>
      <c r="F305" s="43">
        <v>1.5249999999999999</v>
      </c>
      <c r="G305" s="282">
        <v>7201</v>
      </c>
      <c r="H305" s="225">
        <f t="shared" si="13"/>
        <v>8497.18</v>
      </c>
    </row>
    <row r="306" spans="1:9" ht="15.75" thickBot="1" x14ac:dyDescent="0.3">
      <c r="A306" s="339" t="s">
        <v>479</v>
      </c>
      <c r="B306" s="340" t="s">
        <v>137</v>
      </c>
      <c r="C306" s="72">
        <v>0.49</v>
      </c>
      <c r="D306" s="72" t="s">
        <v>127</v>
      </c>
      <c r="E306" s="341" t="s">
        <v>477</v>
      </c>
      <c r="F306" s="106">
        <v>1.2250000000000001</v>
      </c>
      <c r="G306" s="303">
        <v>3626</v>
      </c>
      <c r="H306" s="284">
        <f t="shared" si="13"/>
        <v>4278.6799999999994</v>
      </c>
    </row>
    <row r="307" spans="1:9" ht="15.75" thickBot="1" x14ac:dyDescent="0.3">
      <c r="A307" s="274"/>
      <c r="B307" s="280" t="s">
        <v>502</v>
      </c>
      <c r="C307" s="275"/>
      <c r="D307" s="275"/>
      <c r="E307" s="275"/>
      <c r="F307" s="275"/>
      <c r="G307" s="276"/>
      <c r="H307" s="277"/>
    </row>
    <row r="308" spans="1:9" x14ac:dyDescent="0.25">
      <c r="A308" s="336" t="s">
        <v>481</v>
      </c>
      <c r="B308" s="64" t="s">
        <v>482</v>
      </c>
      <c r="C308" s="64">
        <v>0.13</v>
      </c>
      <c r="D308" s="64" t="s">
        <v>36</v>
      </c>
      <c r="E308" s="97" t="s">
        <v>483</v>
      </c>
      <c r="F308" s="64">
        <v>0.28000000000000003</v>
      </c>
      <c r="G308" s="302">
        <f>G317/6*0.58</f>
        <v>963.06800206933326</v>
      </c>
      <c r="H308" s="315">
        <f>G308*1.18</f>
        <v>1136.4202424418131</v>
      </c>
    </row>
    <row r="309" spans="1:9" x14ac:dyDescent="0.25">
      <c r="A309" s="338" t="s">
        <v>484</v>
      </c>
      <c r="B309" s="6" t="s">
        <v>482</v>
      </c>
      <c r="C309" s="6">
        <v>0.23</v>
      </c>
      <c r="D309" s="6" t="s">
        <v>36</v>
      </c>
      <c r="E309" s="9" t="s">
        <v>485</v>
      </c>
      <c r="F309" s="6">
        <v>0.57000000000000006</v>
      </c>
      <c r="G309" s="282">
        <f>G317/6*1.2*0.76</f>
        <v>1514.3414101504</v>
      </c>
      <c r="H309" s="342">
        <f t="shared" ref="H309:H317" si="14">G309*1.18</f>
        <v>1786.9228639774719</v>
      </c>
    </row>
    <row r="310" spans="1:9" x14ac:dyDescent="0.25">
      <c r="A310" s="338" t="s">
        <v>486</v>
      </c>
      <c r="B310" s="6" t="s">
        <v>482</v>
      </c>
      <c r="C310" s="6">
        <v>0.35</v>
      </c>
      <c r="D310" s="6" t="s">
        <v>36</v>
      </c>
      <c r="E310" s="9" t="s">
        <v>487</v>
      </c>
      <c r="F310" s="6">
        <v>0.86</v>
      </c>
      <c r="G310" s="282">
        <f>G317/6*1.8*0.82</f>
        <v>2450.8420190592001</v>
      </c>
      <c r="H310" s="342">
        <f t="shared" si="14"/>
        <v>2891.9935824898557</v>
      </c>
    </row>
    <row r="311" spans="1:9" x14ac:dyDescent="0.25">
      <c r="A311" s="338" t="s">
        <v>488</v>
      </c>
      <c r="B311" s="6" t="s">
        <v>482</v>
      </c>
      <c r="C311" s="6">
        <v>0.46</v>
      </c>
      <c r="D311" s="6" t="s">
        <v>36</v>
      </c>
      <c r="E311" s="9" t="s">
        <v>489</v>
      </c>
      <c r="F311" s="6">
        <v>1.1599999999999999</v>
      </c>
      <c r="G311" s="282">
        <f>G317/6*2.4*0.9</f>
        <v>3586.5980766719999</v>
      </c>
      <c r="H311" s="342">
        <f t="shared" si="14"/>
        <v>4232.1857304729601</v>
      </c>
    </row>
    <row r="312" spans="1:9" x14ac:dyDescent="0.25">
      <c r="A312" s="338" t="s">
        <v>490</v>
      </c>
      <c r="B312" s="6" t="s">
        <v>482</v>
      </c>
      <c r="C312" s="6">
        <v>0.60000000000000009</v>
      </c>
      <c r="D312" s="6" t="s">
        <v>36</v>
      </c>
      <c r="E312" s="9" t="s">
        <v>491</v>
      </c>
      <c r="F312" s="6">
        <v>1.5</v>
      </c>
      <c r="G312" s="282">
        <f>G317/6*3*0.94</f>
        <v>4682.5030445439997</v>
      </c>
      <c r="H312" s="342">
        <f t="shared" si="14"/>
        <v>5525.3535925619199</v>
      </c>
    </row>
    <row r="313" spans="1:9" x14ac:dyDescent="0.25">
      <c r="A313" s="338" t="s">
        <v>492</v>
      </c>
      <c r="B313" s="6" t="s">
        <v>482</v>
      </c>
      <c r="C313" s="6">
        <v>0.71</v>
      </c>
      <c r="D313" s="6" t="s">
        <v>36</v>
      </c>
      <c r="E313" s="9" t="s">
        <v>493</v>
      </c>
      <c r="F313" s="6">
        <v>1.75</v>
      </c>
      <c r="G313" s="282">
        <f>G317/6*3.58*0.92</f>
        <v>5468.8978820957873</v>
      </c>
      <c r="H313" s="342">
        <f t="shared" si="14"/>
        <v>6453.2995008730286</v>
      </c>
    </row>
    <row r="314" spans="1:9" x14ac:dyDescent="0.25">
      <c r="A314" s="338" t="s">
        <v>494</v>
      </c>
      <c r="B314" s="6" t="s">
        <v>482</v>
      </c>
      <c r="C314" s="6">
        <v>0.82</v>
      </c>
      <c r="D314" s="6" t="s">
        <v>36</v>
      </c>
      <c r="E314" s="9" t="s">
        <v>495</v>
      </c>
      <c r="F314" s="6">
        <v>2.0499999999999998</v>
      </c>
      <c r="G314" s="282">
        <f>G317/6*4.2*1*1*0.92</f>
        <v>6416.0254482688015</v>
      </c>
      <c r="H314" s="342">
        <f t="shared" si="14"/>
        <v>7570.9100289571852</v>
      </c>
    </row>
    <row r="315" spans="1:9" x14ac:dyDescent="0.25">
      <c r="A315" s="338" t="s">
        <v>496</v>
      </c>
      <c r="B315" s="6" t="s">
        <v>482</v>
      </c>
      <c r="C315" s="6">
        <v>0.94</v>
      </c>
      <c r="D315" s="6" t="s">
        <v>36</v>
      </c>
      <c r="E315" s="9" t="s">
        <v>497</v>
      </c>
      <c r="F315" s="6">
        <v>2.35</v>
      </c>
      <c r="G315" s="282">
        <f>G317/6*4.8*0.95</f>
        <v>7571.7070507519993</v>
      </c>
      <c r="H315" s="342">
        <f t="shared" si="14"/>
        <v>8934.6143198873579</v>
      </c>
      <c r="I315" s="362"/>
    </row>
    <row r="316" spans="1:9" x14ac:dyDescent="0.25">
      <c r="A316" s="338" t="s">
        <v>498</v>
      </c>
      <c r="B316" s="6" t="s">
        <v>482</v>
      </c>
      <c r="C316" s="6">
        <v>1.07</v>
      </c>
      <c r="D316" s="6" t="s">
        <v>36</v>
      </c>
      <c r="E316" s="9" t="s">
        <v>499</v>
      </c>
      <c r="F316" s="6">
        <v>2.63</v>
      </c>
      <c r="G316" s="282">
        <f>G317/6*5.4*0.93</f>
        <v>8338.8405282624026</v>
      </c>
      <c r="H316" s="342">
        <f t="shared" si="14"/>
        <v>9839.8318233496339</v>
      </c>
    </row>
    <row r="317" spans="1:9" ht="14.25" customHeight="1" x14ac:dyDescent="0.25">
      <c r="A317" s="363" t="s">
        <v>500</v>
      </c>
      <c r="B317" s="38" t="s">
        <v>482</v>
      </c>
      <c r="C317" s="38">
        <v>1.2</v>
      </c>
      <c r="D317" s="38" t="s">
        <v>36</v>
      </c>
      <c r="E317" s="39" t="s">
        <v>501</v>
      </c>
      <c r="F317" s="38">
        <v>3</v>
      </c>
      <c r="G317" s="283">
        <f>9614.2*1.06*1.04*1*0.94</f>
        <v>9962.7724352000005</v>
      </c>
      <c r="H317" s="347">
        <f t="shared" si="14"/>
        <v>11756.071473536</v>
      </c>
    </row>
    <row r="318" spans="1:9" ht="22.5" customHeight="1" thickBot="1" x14ac:dyDescent="0.3">
      <c r="A318" s="630" t="s">
        <v>507</v>
      </c>
      <c r="B318" s="631"/>
      <c r="C318" s="631"/>
      <c r="D318" s="631"/>
      <c r="E318" s="631"/>
      <c r="F318" s="631"/>
      <c r="G318" s="631"/>
      <c r="H318" s="408"/>
    </row>
    <row r="319" spans="1:9" ht="18" customHeight="1" x14ac:dyDescent="0.25">
      <c r="A319" s="380"/>
      <c r="B319" s="372"/>
      <c r="C319" s="372"/>
      <c r="D319" s="372"/>
      <c r="E319" s="364"/>
      <c r="F319" s="364"/>
      <c r="G319" s="628" t="s">
        <v>503</v>
      </c>
      <c r="H319" s="629"/>
    </row>
    <row r="320" spans="1:9" ht="35.25" thickBot="1" x14ac:dyDescent="0.3">
      <c r="A320" s="381" t="s">
        <v>508</v>
      </c>
      <c r="B320" s="532" t="s">
        <v>504</v>
      </c>
      <c r="C320" s="532">
        <v>0.37</v>
      </c>
      <c r="D320" s="544" t="s">
        <v>36</v>
      </c>
      <c r="E320" s="369" t="s">
        <v>627</v>
      </c>
      <c r="F320" s="367">
        <v>0.92500000000000004</v>
      </c>
      <c r="G320" s="281">
        <v>786</v>
      </c>
      <c r="H320" s="311">
        <f>G320*1.18</f>
        <v>927.4799999999999</v>
      </c>
    </row>
    <row r="321" spans="1:9" ht="13.5" customHeight="1" thickBot="1" x14ac:dyDescent="0.3">
      <c r="A321" s="572">
        <v>1</v>
      </c>
      <c r="B321" s="573">
        <v>2</v>
      </c>
      <c r="C321" s="573">
        <v>3</v>
      </c>
      <c r="D321" s="573">
        <v>4</v>
      </c>
      <c r="E321" s="574">
        <v>5</v>
      </c>
      <c r="F321" s="573">
        <v>6</v>
      </c>
      <c r="G321" s="574">
        <v>7</v>
      </c>
      <c r="H321" s="575">
        <v>8</v>
      </c>
    </row>
    <row r="322" spans="1:9" ht="27" customHeight="1" x14ac:dyDescent="0.25">
      <c r="A322" s="382" t="s">
        <v>509</v>
      </c>
      <c r="B322" s="533" t="s">
        <v>869</v>
      </c>
      <c r="C322" s="429"/>
      <c r="D322" s="545" t="s">
        <v>302</v>
      </c>
      <c r="E322" s="370" t="s">
        <v>626</v>
      </c>
      <c r="F322" s="368" t="s">
        <v>505</v>
      </c>
      <c r="G322" s="282">
        <f>832*1.03</f>
        <v>856.96</v>
      </c>
      <c r="H322" s="311">
        <f t="shared" ref="H322:H325" si="15">G322*1.18</f>
        <v>1011.2128</v>
      </c>
    </row>
    <row r="323" spans="1:9" ht="35.25" thickBot="1" x14ac:dyDescent="0.3">
      <c r="A323" s="382" t="s">
        <v>510</v>
      </c>
      <c r="B323" s="534" t="s">
        <v>870</v>
      </c>
      <c r="C323" s="429"/>
      <c r="D323" s="11" t="s">
        <v>302</v>
      </c>
      <c r="E323" s="371" t="s">
        <v>625</v>
      </c>
      <c r="F323" s="366" t="s">
        <v>505</v>
      </c>
      <c r="G323" s="282">
        <v>950</v>
      </c>
      <c r="H323" s="311">
        <f t="shared" si="15"/>
        <v>1121</v>
      </c>
    </row>
    <row r="324" spans="1:9" ht="36" thickTop="1" thickBot="1" x14ac:dyDescent="0.3">
      <c r="A324" s="382" t="s">
        <v>511</v>
      </c>
      <c r="B324" s="534" t="s">
        <v>870</v>
      </c>
      <c r="C324" s="429"/>
      <c r="D324" s="12" t="s">
        <v>302</v>
      </c>
      <c r="E324" s="371" t="s">
        <v>624</v>
      </c>
      <c r="F324" s="366" t="s">
        <v>505</v>
      </c>
      <c r="G324" s="282">
        <f>1024*1.06</f>
        <v>1085.44</v>
      </c>
      <c r="H324" s="311">
        <f t="shared" si="15"/>
        <v>1280.8191999999999</v>
      </c>
      <c r="I324" s="409"/>
    </row>
    <row r="325" spans="1:9" ht="36" thickTop="1" thickBot="1" x14ac:dyDescent="0.3">
      <c r="A325" s="383" t="s">
        <v>506</v>
      </c>
      <c r="B325" s="535" t="s">
        <v>869</v>
      </c>
      <c r="C325" s="430"/>
      <c r="D325" s="180" t="s">
        <v>302</v>
      </c>
      <c r="E325" s="374" t="s">
        <v>628</v>
      </c>
      <c r="F325" s="373" t="s">
        <v>505</v>
      </c>
      <c r="G325" s="283">
        <f>1077*1.06</f>
        <v>1141.6200000000001</v>
      </c>
      <c r="H325" s="384">
        <f t="shared" si="15"/>
        <v>1347.1116000000002</v>
      </c>
      <c r="I325" s="409"/>
    </row>
    <row r="326" spans="1:9" ht="15.75" thickBot="1" x14ac:dyDescent="0.3">
      <c r="A326" s="375"/>
      <c r="B326" s="376" t="s">
        <v>631</v>
      </c>
      <c r="C326" s="376"/>
      <c r="D326" s="376"/>
      <c r="E326" s="376"/>
      <c r="F326" s="376"/>
      <c r="G326" s="553"/>
      <c r="H326" s="554"/>
      <c r="I326" s="409"/>
    </row>
    <row r="327" spans="1:9" ht="22.5" x14ac:dyDescent="0.25">
      <c r="A327" s="385" t="s">
        <v>836</v>
      </c>
      <c r="B327" s="377" t="s">
        <v>621</v>
      </c>
      <c r="C327" s="76"/>
      <c r="D327" s="27" t="s">
        <v>16</v>
      </c>
      <c r="E327" s="378" t="s">
        <v>622</v>
      </c>
      <c r="F327" s="379" t="s">
        <v>505</v>
      </c>
      <c r="G327" s="281">
        <f>912*1.06</f>
        <v>966.72</v>
      </c>
      <c r="H327" s="352">
        <f>G327*1.18</f>
        <v>1140.7295999999999</v>
      </c>
      <c r="I327" s="428"/>
    </row>
    <row r="328" spans="1:9" ht="23.25" thickBot="1" x14ac:dyDescent="0.3">
      <c r="A328" s="386" t="s">
        <v>837</v>
      </c>
      <c r="B328" s="387" t="s">
        <v>621</v>
      </c>
      <c r="C328" s="388"/>
      <c r="D328" s="71" t="s">
        <v>16</v>
      </c>
      <c r="E328" s="389" t="s">
        <v>623</v>
      </c>
      <c r="F328" s="390" t="s">
        <v>505</v>
      </c>
      <c r="G328" s="303">
        <f>1064*1.06</f>
        <v>1127.8400000000001</v>
      </c>
      <c r="H328" s="284">
        <f>G328*1.18</f>
        <v>1330.8512000000001</v>
      </c>
      <c r="I328" s="443"/>
    </row>
    <row r="329" spans="1:9" ht="23.25" thickBot="1" x14ac:dyDescent="0.3">
      <c r="A329" s="386" t="s">
        <v>837</v>
      </c>
      <c r="B329" s="387" t="s">
        <v>621</v>
      </c>
      <c r="C329" s="388"/>
      <c r="D329" s="71" t="s">
        <v>11</v>
      </c>
      <c r="E329" s="389" t="s">
        <v>623</v>
      </c>
      <c r="F329" s="390" t="s">
        <v>505</v>
      </c>
      <c r="G329" s="303">
        <f>1064*1.06</f>
        <v>1127.8400000000001</v>
      </c>
      <c r="H329" s="284">
        <f>G329*1.18</f>
        <v>1330.8512000000001</v>
      </c>
      <c r="I329" s="443"/>
    </row>
    <row r="330" spans="1:9" ht="15.75" thickBot="1" x14ac:dyDescent="0.3">
      <c r="B330" s="439" t="s">
        <v>641</v>
      </c>
      <c r="I330" s="443"/>
    </row>
    <row r="331" spans="1:9" x14ac:dyDescent="0.25">
      <c r="A331" s="434" t="s">
        <v>632</v>
      </c>
      <c r="B331" s="435" t="s">
        <v>633</v>
      </c>
      <c r="C331" s="326">
        <v>0.53100000000000003</v>
      </c>
      <c r="D331" s="326" t="s">
        <v>127</v>
      </c>
      <c r="E331" s="327" t="s">
        <v>634</v>
      </c>
      <c r="F331" s="326">
        <v>1.325</v>
      </c>
      <c r="G331" s="440">
        <v>5620</v>
      </c>
      <c r="H331" s="470">
        <f>G331*1.18</f>
        <v>6631.5999999999995</v>
      </c>
      <c r="I331" s="443"/>
    </row>
    <row r="332" spans="1:9" x14ac:dyDescent="0.25">
      <c r="A332" s="436" t="s">
        <v>635</v>
      </c>
      <c r="B332" s="433" t="s">
        <v>636</v>
      </c>
      <c r="C332" s="432">
        <v>0.41</v>
      </c>
      <c r="D332" s="432" t="s">
        <v>36</v>
      </c>
      <c r="E332" s="468" t="s">
        <v>637</v>
      </c>
      <c r="F332" s="432">
        <v>1.0249999999999999</v>
      </c>
      <c r="G332" s="441">
        <f>949.47*1.2*1.1*1.1*1.15*1.08*1.12*1.2*1.1*1.04*1.1*1.05*1.06*1.03*1.03*1.1*1.06*1.03*1.09*1.04*1.06*1.04*1.05*1.02*1.08*0.94</f>
        <v>5579.9839300671947</v>
      </c>
      <c r="H332" s="471">
        <f>G332*1.18</f>
        <v>6584.3810374792893</v>
      </c>
      <c r="I332" s="443"/>
    </row>
    <row r="333" spans="1:9" ht="15.75" thickBot="1" x14ac:dyDescent="0.3">
      <c r="A333" s="437" t="s">
        <v>638</v>
      </c>
      <c r="B333" s="438" t="s">
        <v>639</v>
      </c>
      <c r="C333" s="331">
        <v>0.46200000000000002</v>
      </c>
      <c r="D333" s="331" t="s">
        <v>127</v>
      </c>
      <c r="E333" s="332" t="s">
        <v>640</v>
      </c>
      <c r="F333" s="331">
        <v>1.1499999999999999</v>
      </c>
      <c r="G333" s="442">
        <f>2872*1.1*1.06*1.03*1.05*1.08*1.09*1.04*0.96*1.09*1.04*1.06*1.08*1.05*1.06*1.12*0.96</f>
        <v>6610.559424048236</v>
      </c>
      <c r="H333" s="473">
        <f>G333*1.18</f>
        <v>7800.460120376918</v>
      </c>
      <c r="I333" s="443"/>
    </row>
    <row r="334" spans="1:9" ht="15.75" thickBot="1" x14ac:dyDescent="0.3">
      <c r="A334" s="274"/>
      <c r="B334" s="280" t="s">
        <v>671</v>
      </c>
      <c r="C334" s="275"/>
      <c r="D334" s="275"/>
      <c r="E334" s="275"/>
      <c r="F334" s="275"/>
      <c r="G334" s="276"/>
      <c r="H334" s="277"/>
      <c r="I334" s="443"/>
    </row>
    <row r="335" spans="1:9" x14ac:dyDescent="0.25">
      <c r="A335" s="445" t="s">
        <v>642</v>
      </c>
      <c r="B335" s="446" t="s">
        <v>830</v>
      </c>
      <c r="C335" s="447">
        <v>4.5999999999999999E-2</v>
      </c>
      <c r="D335" s="447" t="s">
        <v>16</v>
      </c>
      <c r="E335" s="458" t="s">
        <v>643</v>
      </c>
      <c r="F335" s="457">
        <v>0.11</v>
      </c>
      <c r="G335" s="482">
        <v>692</v>
      </c>
      <c r="H335" s="448">
        <f t="shared" ref="H335:H348" si="16">G335*1.18</f>
        <v>816.56</v>
      </c>
      <c r="I335" s="443"/>
    </row>
    <row r="336" spans="1:9" x14ac:dyDescent="0.25">
      <c r="A336" s="449" t="s">
        <v>644</v>
      </c>
      <c r="B336" s="450" t="s">
        <v>645</v>
      </c>
      <c r="C336" s="451">
        <v>5.2999999999999999E-2</v>
      </c>
      <c r="D336" s="451" t="s">
        <v>16</v>
      </c>
      <c r="E336" s="460" t="s">
        <v>646</v>
      </c>
      <c r="F336" s="459">
        <v>0.128</v>
      </c>
      <c r="G336" s="483">
        <v>763</v>
      </c>
      <c r="H336" s="452">
        <f t="shared" si="16"/>
        <v>900.33999999999992</v>
      </c>
      <c r="I336" s="443"/>
    </row>
    <row r="337" spans="1:9" x14ac:dyDescent="0.25">
      <c r="A337" s="449" t="s">
        <v>647</v>
      </c>
      <c r="B337" s="459"/>
      <c r="C337" s="451">
        <v>0.06</v>
      </c>
      <c r="D337" s="451" t="s">
        <v>16</v>
      </c>
      <c r="E337" s="460" t="s">
        <v>648</v>
      </c>
      <c r="F337" s="459">
        <v>0.14499999999999999</v>
      </c>
      <c r="G337" s="483">
        <v>792</v>
      </c>
      <c r="H337" s="452">
        <f t="shared" si="16"/>
        <v>934.56</v>
      </c>
      <c r="I337" s="443"/>
    </row>
    <row r="338" spans="1:9" x14ac:dyDescent="0.25">
      <c r="A338" s="449" t="s">
        <v>649</v>
      </c>
      <c r="B338" s="459"/>
      <c r="C338" s="451">
        <v>6.6000000000000003E-2</v>
      </c>
      <c r="D338" s="451" t="s">
        <v>16</v>
      </c>
      <c r="E338" s="460" t="s">
        <v>650</v>
      </c>
      <c r="F338" s="459">
        <v>0.16</v>
      </c>
      <c r="G338" s="484">
        <v>830</v>
      </c>
      <c r="H338" s="453">
        <f t="shared" si="16"/>
        <v>979.4</v>
      </c>
      <c r="I338" s="443"/>
    </row>
    <row r="339" spans="1:9" x14ac:dyDescent="0.25">
      <c r="A339" s="449" t="s">
        <v>651</v>
      </c>
      <c r="B339" s="459"/>
      <c r="C339" s="451">
        <v>3.6000000000000004E-2</v>
      </c>
      <c r="D339" s="451" t="s">
        <v>16</v>
      </c>
      <c r="E339" s="460" t="s">
        <v>652</v>
      </c>
      <c r="F339" s="459">
        <v>8.7000000000000008E-2</v>
      </c>
      <c r="G339" s="485">
        <f>300*1.1*1.02*0.93*1.1*1.04*1.1*1.06*1.06*1.04*1.15*1.02</f>
        <v>539.95659719130481</v>
      </c>
      <c r="H339" s="452">
        <f t="shared" si="16"/>
        <v>637.14878468573966</v>
      </c>
      <c r="I339" s="443"/>
    </row>
    <row r="340" spans="1:9" x14ac:dyDescent="0.25">
      <c r="A340" s="449" t="s">
        <v>653</v>
      </c>
      <c r="B340" s="459"/>
      <c r="C340" s="451">
        <v>4.1000000000000002E-2</v>
      </c>
      <c r="D340" s="451" t="s">
        <v>16</v>
      </c>
      <c r="E340" s="460" t="s">
        <v>654</v>
      </c>
      <c r="F340" s="459">
        <v>9.9000000000000005E-2</v>
      </c>
      <c r="G340" s="485">
        <f>324.8*1.11*1.02*0.975*1.1*1.04*1.1*1.06*1.06*1.04*1.15*1.02</f>
        <v>618.45140198886281</v>
      </c>
      <c r="H340" s="452">
        <f t="shared" si="16"/>
        <v>729.77265434685808</v>
      </c>
      <c r="I340" s="443"/>
    </row>
    <row r="341" spans="1:9" x14ac:dyDescent="0.25">
      <c r="A341" s="449" t="s">
        <v>655</v>
      </c>
      <c r="B341" s="459"/>
      <c r="C341" s="451">
        <v>4.5999999999999999E-2</v>
      </c>
      <c r="D341" s="451" t="s">
        <v>16</v>
      </c>
      <c r="E341" s="460" t="s">
        <v>656</v>
      </c>
      <c r="F341" s="459">
        <v>0.11</v>
      </c>
      <c r="G341" s="483">
        <f>675.6</f>
        <v>675.6</v>
      </c>
      <c r="H341" s="452">
        <f t="shared" si="16"/>
        <v>797.20799999999997</v>
      </c>
      <c r="I341" s="443"/>
    </row>
    <row r="342" spans="1:9" x14ac:dyDescent="0.25">
      <c r="A342" s="449" t="s">
        <v>657</v>
      </c>
      <c r="B342" s="459"/>
      <c r="C342" s="451">
        <v>0.05</v>
      </c>
      <c r="D342" s="451" t="s">
        <v>16</v>
      </c>
      <c r="E342" s="460" t="s">
        <v>658</v>
      </c>
      <c r="F342" s="459">
        <v>0.121</v>
      </c>
      <c r="G342" s="485">
        <f>402.9*1.035*1.02*0.96*1.1*1.04*1.1*1.06*1.06*1.04*1.15*1.02</f>
        <v>704.32128551685594</v>
      </c>
      <c r="H342" s="452">
        <f t="shared" si="16"/>
        <v>831.09911690988997</v>
      </c>
      <c r="I342" s="443"/>
    </row>
    <row r="343" spans="1:9" x14ac:dyDescent="0.25">
      <c r="A343" s="449" t="s">
        <v>659</v>
      </c>
      <c r="B343" s="459"/>
      <c r="C343" s="451">
        <v>5.5E-2</v>
      </c>
      <c r="D343" s="451" t="s">
        <v>16</v>
      </c>
      <c r="E343" s="460" t="s">
        <v>660</v>
      </c>
      <c r="F343" s="459">
        <v>0.13300000000000001</v>
      </c>
      <c r="G343" s="485">
        <f>422.9*1.062*1.02*0.97*1.1*1.04*1.1*1.06*1.04*1.04*1.15*1.02</f>
        <v>752.00958055879732</v>
      </c>
      <c r="H343" s="452">
        <f t="shared" si="16"/>
        <v>887.3713050593808</v>
      </c>
      <c r="I343" s="444"/>
    </row>
    <row r="344" spans="1:9" x14ac:dyDescent="0.25">
      <c r="A344" s="449" t="s">
        <v>661</v>
      </c>
      <c r="B344" s="459"/>
      <c r="C344" s="451">
        <v>2.4E-2</v>
      </c>
      <c r="D344" s="451" t="s">
        <v>16</v>
      </c>
      <c r="E344" s="460" t="s">
        <v>662</v>
      </c>
      <c r="F344" s="459">
        <v>5.9000000000000004E-2</v>
      </c>
      <c r="G344" s="485">
        <f>225*1.15*1.02*0.98*1.1*1.04*1.1*1.06*1.06*1.04*1.15*1.05</f>
        <v>459.25884026675465</v>
      </c>
      <c r="H344" s="452">
        <f t="shared" si="16"/>
        <v>541.92543151477048</v>
      </c>
      <c r="I344" s="410"/>
    </row>
    <row r="345" spans="1:9" x14ac:dyDescent="0.25">
      <c r="A345" s="449" t="s">
        <v>663</v>
      </c>
      <c r="B345" s="459"/>
      <c r="C345" s="451">
        <v>2.7E-2</v>
      </c>
      <c r="D345" s="451" t="s">
        <v>16</v>
      </c>
      <c r="E345" s="460" t="s">
        <v>664</v>
      </c>
      <c r="F345" s="459">
        <v>6.6000000000000003E-2</v>
      </c>
      <c r="G345" s="485">
        <f>255.8*1.13*1.02*0.98*1.1*1.04*1.1*1.06*1.06*1.04*1.15*1.05</f>
        <v>513.04581570808307</v>
      </c>
      <c r="H345" s="452">
        <f t="shared" si="16"/>
        <v>605.39406253553796</v>
      </c>
      <c r="I345" s="410"/>
    </row>
    <row r="346" spans="1:9" x14ac:dyDescent="0.25">
      <c r="A346" s="449" t="s">
        <v>665</v>
      </c>
      <c r="B346" s="459"/>
      <c r="C346" s="451">
        <v>3.1E-2</v>
      </c>
      <c r="D346" s="451" t="s">
        <v>16</v>
      </c>
      <c r="E346" s="460" t="s">
        <v>666</v>
      </c>
      <c r="F346" s="459">
        <v>7.4999999999999997E-2</v>
      </c>
      <c r="G346" s="483">
        <v>560</v>
      </c>
      <c r="H346" s="452">
        <f t="shared" si="16"/>
        <v>660.8</v>
      </c>
      <c r="I346" s="410"/>
    </row>
    <row r="347" spans="1:9" x14ac:dyDescent="0.25">
      <c r="A347" s="449" t="s">
        <v>667</v>
      </c>
      <c r="B347" s="459"/>
      <c r="C347" s="451">
        <v>3.4000000000000002E-2</v>
      </c>
      <c r="D347" s="451" t="s">
        <v>16</v>
      </c>
      <c r="E347" s="460" t="s">
        <v>668</v>
      </c>
      <c r="F347" s="459">
        <v>8.3000000000000004E-2</v>
      </c>
      <c r="G347" s="485">
        <v>592</v>
      </c>
      <c r="H347" s="452">
        <f t="shared" si="16"/>
        <v>698.56</v>
      </c>
      <c r="I347" s="410"/>
    </row>
    <row r="348" spans="1:9" ht="15.75" thickBot="1" x14ac:dyDescent="0.3">
      <c r="A348" s="454" t="s">
        <v>669</v>
      </c>
      <c r="B348" s="461"/>
      <c r="C348" s="455">
        <v>3.7999999999999999E-2</v>
      </c>
      <c r="D348" s="455" t="s">
        <v>16</v>
      </c>
      <c r="E348" s="462" t="s">
        <v>670</v>
      </c>
      <c r="F348" s="461">
        <v>9.1999999999999998E-2</v>
      </c>
      <c r="G348" s="486">
        <f>373.32*1.02*0.95*1.1*1.04*1.1*1.06*1.06*1.04*1.15*1.05</f>
        <v>642.32666759722213</v>
      </c>
      <c r="H348" s="456">
        <f t="shared" si="16"/>
        <v>757.94546776472203</v>
      </c>
      <c r="I348" s="410"/>
    </row>
    <row r="349" spans="1:9" ht="15.75" thickBot="1" x14ac:dyDescent="0.3">
      <c r="A349" s="474"/>
      <c r="B349" s="476" t="s">
        <v>751</v>
      </c>
      <c r="C349" s="475"/>
      <c r="D349" s="475"/>
      <c r="E349" s="477"/>
      <c r="F349" s="477"/>
      <c r="G349" s="555"/>
      <c r="H349" s="556"/>
      <c r="I349" s="410"/>
    </row>
    <row r="350" spans="1:9" x14ac:dyDescent="0.25">
      <c r="A350" s="392" t="s">
        <v>672</v>
      </c>
      <c r="B350" s="86" t="s">
        <v>673</v>
      </c>
      <c r="C350" s="170">
        <v>2.1999999999999999E-2</v>
      </c>
      <c r="D350" s="170" t="s">
        <v>36</v>
      </c>
      <c r="E350" s="169" t="s">
        <v>674</v>
      </c>
      <c r="F350" s="170">
        <v>5.3999999999999999E-2</v>
      </c>
      <c r="G350" s="479">
        <v>330</v>
      </c>
      <c r="H350" s="470">
        <f t="shared" ref="H350:H390" si="17">G350*1.18</f>
        <v>389.4</v>
      </c>
      <c r="I350" s="410"/>
    </row>
    <row r="351" spans="1:9" x14ac:dyDescent="0.25">
      <c r="A351" s="393" t="s">
        <v>675</v>
      </c>
      <c r="B351" s="40" t="s">
        <v>676</v>
      </c>
      <c r="C351" s="40">
        <v>2.6000000000000002E-2</v>
      </c>
      <c r="D351" s="40" t="s">
        <v>36</v>
      </c>
      <c r="E351" s="41" t="s">
        <v>677</v>
      </c>
      <c r="F351" s="40">
        <v>6.5000000000000002E-2</v>
      </c>
      <c r="G351" s="480">
        <f>1.18*181.56*1.15*1.1*1.05*1.1*1.06*1.05*1.05*0.98*1.1*1.04*1.06*1.06*1.04*1.03*0.9</f>
        <v>444.25881990372471</v>
      </c>
      <c r="H351" s="471">
        <f t="shared" si="17"/>
        <v>524.22540748639517</v>
      </c>
      <c r="I351" s="410"/>
    </row>
    <row r="352" spans="1:9" x14ac:dyDescent="0.25">
      <c r="A352" s="393" t="s">
        <v>678</v>
      </c>
      <c r="B352" s="40"/>
      <c r="C352" s="40">
        <v>2.8000000000000001E-2</v>
      </c>
      <c r="D352" s="40" t="s">
        <v>36</v>
      </c>
      <c r="E352" s="41" t="s">
        <v>679</v>
      </c>
      <c r="F352" s="40">
        <v>7.1000000000000008E-2</v>
      </c>
      <c r="G352" s="480">
        <f>394.6*1.1*1.04*1.06*1.06*1.04*1.02*0.9</f>
        <v>484.25136815278097</v>
      </c>
      <c r="H352" s="471">
        <f t="shared" si="17"/>
        <v>571.41661442028146</v>
      </c>
      <c r="I352" s="410"/>
    </row>
    <row r="353" spans="1:13" x14ac:dyDescent="0.25">
      <c r="A353" s="393" t="s">
        <v>680</v>
      </c>
      <c r="B353" s="40"/>
      <c r="C353" s="40">
        <v>3.3000000000000002E-2</v>
      </c>
      <c r="D353" s="40" t="s">
        <v>36</v>
      </c>
      <c r="E353" s="41" t="s">
        <v>681</v>
      </c>
      <c r="F353" s="40">
        <v>8.1000000000000003E-2</v>
      </c>
      <c r="G353" s="480">
        <f>1.18*215.51*1.15*1.1*1.05*1.1*1.06*1.05*1.08*1.06*0.985*1.1*1.04*1.06*1.04*1.05*0.9</f>
        <v>555.75067271128557</v>
      </c>
      <c r="H353" s="471">
        <f t="shared" si="17"/>
        <v>655.78579379931693</v>
      </c>
      <c r="I353" s="410"/>
    </row>
    <row r="354" spans="1:13" x14ac:dyDescent="0.25">
      <c r="A354" s="393" t="s">
        <v>682</v>
      </c>
      <c r="B354" s="40"/>
      <c r="C354" s="40">
        <v>3.6999999999999998E-2</v>
      </c>
      <c r="D354" s="40" t="s">
        <v>36</v>
      </c>
      <c r="E354" s="41" t="s">
        <v>683</v>
      </c>
      <c r="F354" s="40" t="s">
        <v>684</v>
      </c>
      <c r="G354" s="480">
        <f>305.09*1.15*1.1*1.05*1.1*1.06*1.05*1.04*1.06*0.96*1.1*1.04*1.06*1.06*1.04*1.05*0.85</f>
        <v>626.44854324802827</v>
      </c>
      <c r="H354" s="471">
        <f t="shared" si="17"/>
        <v>739.20928103267329</v>
      </c>
      <c r="I354" s="410"/>
    </row>
    <row r="355" spans="1:13" x14ac:dyDescent="0.25">
      <c r="A355" s="393" t="s">
        <v>685</v>
      </c>
      <c r="B355" s="40"/>
      <c r="C355" s="40">
        <v>4.1000000000000002E-2</v>
      </c>
      <c r="D355" s="40" t="s">
        <v>36</v>
      </c>
      <c r="E355" s="41" t="s">
        <v>686</v>
      </c>
      <c r="F355" s="40">
        <v>0.10300000000000001</v>
      </c>
      <c r="G355" s="480">
        <f>563.78*1.04*1.02*0.986*1.1*1.04*1.06*1.06*1.04*1.06*0.85</f>
        <v>710.25774233491813</v>
      </c>
      <c r="H355" s="471">
        <f t="shared" si="17"/>
        <v>838.10413595520333</v>
      </c>
      <c r="I355" s="410"/>
    </row>
    <row r="356" spans="1:13" x14ac:dyDescent="0.25">
      <c r="A356" s="393" t="s">
        <v>687</v>
      </c>
      <c r="B356" s="40"/>
      <c r="C356" s="40">
        <v>4.3999999999999997E-2</v>
      </c>
      <c r="D356" s="40" t="s">
        <v>36</v>
      </c>
      <c r="E356" s="41" t="s">
        <v>688</v>
      </c>
      <c r="F356" s="40">
        <v>0.109</v>
      </c>
      <c r="G356" s="480">
        <f>593.78*1.02*1.03*0.985*1.1*1.04*1.06*1.06*1.04*1.12*0.85</f>
        <v>782.00086781611469</v>
      </c>
      <c r="H356" s="471">
        <f t="shared" si="17"/>
        <v>922.76102402301524</v>
      </c>
      <c r="I356" s="410"/>
    </row>
    <row r="357" spans="1:13" x14ac:dyDescent="0.25">
      <c r="A357" s="393" t="s">
        <v>689</v>
      </c>
      <c r="B357" s="40"/>
      <c r="C357" s="40">
        <v>4.8000000000000001E-2</v>
      </c>
      <c r="D357" s="40" t="s">
        <v>36</v>
      </c>
      <c r="E357" s="41" t="s">
        <v>690</v>
      </c>
      <c r="F357" s="40">
        <v>0.12</v>
      </c>
      <c r="G357" s="480">
        <f>632*1.1*1.04*1.06*1.06*1.04*1.12*0.85</f>
        <v>804.31306065510421</v>
      </c>
      <c r="H357" s="471">
        <f t="shared" si="17"/>
        <v>949.08941157302297</v>
      </c>
      <c r="I357" s="410"/>
    </row>
    <row r="358" spans="1:13" x14ac:dyDescent="0.25">
      <c r="A358" s="393" t="s">
        <v>691</v>
      </c>
      <c r="B358" s="40"/>
      <c r="C358" s="40">
        <v>0.05</v>
      </c>
      <c r="D358" s="40" t="s">
        <v>36</v>
      </c>
      <c r="E358" s="41" t="s">
        <v>692</v>
      </c>
      <c r="F358" s="40">
        <v>0.125</v>
      </c>
      <c r="G358" s="480">
        <f>1.18*370.78*1.15*1.1*1.05*1.1*1.06*1.02*0.94*1.1*1.04*1.06*1.06*1.04*1.12*0.85</f>
        <v>826.82338347302482</v>
      </c>
      <c r="H358" s="471">
        <f t="shared" si="17"/>
        <v>975.65159249816918</v>
      </c>
      <c r="I358" s="410"/>
    </row>
    <row r="359" spans="1:13" x14ac:dyDescent="0.25">
      <c r="A359" s="393" t="s">
        <v>693</v>
      </c>
      <c r="B359" s="40"/>
      <c r="C359" s="40">
        <v>3.4000000000000002E-2</v>
      </c>
      <c r="D359" s="40" t="s">
        <v>36</v>
      </c>
      <c r="E359" s="41" t="s">
        <v>694</v>
      </c>
      <c r="F359" s="40">
        <v>7.4999999999999997E-2</v>
      </c>
      <c r="G359" s="480">
        <v>644</v>
      </c>
      <c r="H359" s="472">
        <f t="shared" si="17"/>
        <v>759.92</v>
      </c>
      <c r="I359" s="410"/>
    </row>
    <row r="360" spans="1:13" x14ac:dyDescent="0.25">
      <c r="A360" s="393" t="s">
        <v>695</v>
      </c>
      <c r="B360" s="40"/>
      <c r="C360" s="40">
        <v>4.2000000000000003E-2</v>
      </c>
      <c r="D360" s="40" t="s">
        <v>36</v>
      </c>
      <c r="E360" s="41" t="s">
        <v>696</v>
      </c>
      <c r="F360" s="40">
        <v>0.1</v>
      </c>
      <c r="G360" s="480">
        <v>926</v>
      </c>
      <c r="H360" s="471">
        <f t="shared" si="17"/>
        <v>1092.6799999999998</v>
      </c>
      <c r="I360" s="410"/>
    </row>
    <row r="361" spans="1:13" x14ac:dyDescent="0.25">
      <c r="A361" s="393" t="s">
        <v>697</v>
      </c>
      <c r="B361" s="40"/>
      <c r="C361" s="40">
        <v>4.8000000000000001E-2</v>
      </c>
      <c r="D361" s="40" t="s">
        <v>36</v>
      </c>
      <c r="E361" s="41" t="s">
        <v>698</v>
      </c>
      <c r="F361" s="40">
        <v>0.125</v>
      </c>
      <c r="G361" s="480">
        <v>1040</v>
      </c>
      <c r="H361" s="471">
        <f t="shared" si="17"/>
        <v>1227.2</v>
      </c>
      <c r="I361" s="410"/>
    </row>
    <row r="362" spans="1:13" x14ac:dyDescent="0.25">
      <c r="A362" s="393" t="s">
        <v>699</v>
      </c>
      <c r="B362" s="40"/>
      <c r="C362" s="40">
        <v>4.8000000000000001E-2</v>
      </c>
      <c r="D362" s="40" t="s">
        <v>36</v>
      </c>
      <c r="E362" s="41" t="s">
        <v>698</v>
      </c>
      <c r="F362" s="40">
        <v>0.11900000000000001</v>
      </c>
      <c r="G362" s="480">
        <f>600*1.1*1.04*1.06*1.06*1.04*1.08*1.02</f>
        <v>883.58080352256025</v>
      </c>
      <c r="H362" s="471">
        <f t="shared" si="17"/>
        <v>1042.6253481566209</v>
      </c>
      <c r="I362" s="410"/>
    </row>
    <row r="363" spans="1:13" x14ac:dyDescent="0.25">
      <c r="A363" s="393" t="s">
        <v>700</v>
      </c>
      <c r="B363" s="40"/>
      <c r="C363" s="40">
        <v>5.5E-2</v>
      </c>
      <c r="D363" s="40" t="s">
        <v>36</v>
      </c>
      <c r="E363" s="41" t="s">
        <v>701</v>
      </c>
      <c r="F363" s="40">
        <v>0.13700000000000001</v>
      </c>
      <c r="G363" s="480">
        <f>208.6*1.15*1.25*1.15*1.15*1.18*1.15*1.1*1.06*1.1*1.06*1.01*1.02*0.97*1.1*1.04*1.06*1.06*1.04*1.1*1.03</f>
        <v>1107.3606087065307</v>
      </c>
      <c r="H363" s="471">
        <f t="shared" si="17"/>
        <v>1306.6855182737061</v>
      </c>
      <c r="I363" s="410"/>
    </row>
    <row r="364" spans="1:13" x14ac:dyDescent="0.25">
      <c r="A364" s="393" t="s">
        <v>702</v>
      </c>
      <c r="B364" s="40"/>
      <c r="C364" s="40">
        <v>5.5E-2</v>
      </c>
      <c r="D364" s="40" t="s">
        <v>36</v>
      </c>
      <c r="E364" s="41" t="s">
        <v>703</v>
      </c>
      <c r="F364" s="40">
        <v>0.16200000000000001</v>
      </c>
      <c r="G364" s="480">
        <f>208.6*1.15*1.25*1.15*1.15*1.18*1.15*1.1*1.06*1.1*1.06*1.01*1.02*1.1*1.04*1.06*1.06*1.04*1.08*1.01</f>
        <v>1099.0882266558845</v>
      </c>
      <c r="H364" s="471">
        <f t="shared" si="17"/>
        <v>1296.9241074539436</v>
      </c>
      <c r="I364" s="410"/>
    </row>
    <row r="365" spans="1:13" ht="15.75" thickBot="1" x14ac:dyDescent="0.3">
      <c r="A365" s="393" t="s">
        <v>704</v>
      </c>
      <c r="B365" s="40"/>
      <c r="C365" s="40">
        <v>7.2000000000000008E-2</v>
      </c>
      <c r="D365" s="40" t="s">
        <v>36</v>
      </c>
      <c r="E365" s="41" t="s">
        <v>705</v>
      </c>
      <c r="F365" s="40">
        <v>0.18</v>
      </c>
      <c r="G365" s="480">
        <v>1381</v>
      </c>
      <c r="H365" s="471">
        <f t="shared" si="17"/>
        <v>1629.58</v>
      </c>
      <c r="I365" s="410"/>
    </row>
    <row r="366" spans="1:13" ht="15.75" thickBot="1" x14ac:dyDescent="0.3">
      <c r="A366" s="618">
        <v>1</v>
      </c>
      <c r="B366" s="619">
        <v>2</v>
      </c>
      <c r="C366" s="619">
        <v>3</v>
      </c>
      <c r="D366" s="619">
        <v>4</v>
      </c>
      <c r="E366" s="620">
        <v>5</v>
      </c>
      <c r="F366" s="619">
        <v>6</v>
      </c>
      <c r="G366" s="620">
        <v>7</v>
      </c>
      <c r="H366" s="621">
        <v>8</v>
      </c>
      <c r="I366" s="410"/>
    </row>
    <row r="367" spans="1:13" x14ac:dyDescent="0.25">
      <c r="A367" s="392" t="s">
        <v>706</v>
      </c>
      <c r="B367" s="86" t="s">
        <v>673</v>
      </c>
      <c r="C367" s="170">
        <v>7.9000000000000001E-2</v>
      </c>
      <c r="D367" s="170" t="s">
        <v>36</v>
      </c>
      <c r="E367" s="169" t="s">
        <v>707</v>
      </c>
      <c r="F367" s="170"/>
      <c r="G367" s="518">
        <v>1490</v>
      </c>
      <c r="H367" s="470">
        <f t="shared" si="17"/>
        <v>1758.1999999999998</v>
      </c>
      <c r="I367" s="410"/>
    </row>
    <row r="368" spans="1:13" x14ac:dyDescent="0.25">
      <c r="A368" s="393" t="s">
        <v>708</v>
      </c>
      <c r="B368" s="40" t="s">
        <v>871</v>
      </c>
      <c r="C368" s="40">
        <v>8.8999999999999996E-2</v>
      </c>
      <c r="D368" s="40" t="s">
        <v>36</v>
      </c>
      <c r="E368" s="41" t="s">
        <v>709</v>
      </c>
      <c r="F368" s="40"/>
      <c r="G368" s="480">
        <v>1642</v>
      </c>
      <c r="H368" s="471">
        <f t="shared" si="17"/>
        <v>1937.56</v>
      </c>
      <c r="I368" s="410"/>
      <c r="J368" s="652"/>
      <c r="K368" s="652"/>
      <c r="L368" s="391">
        <v>0.189</v>
      </c>
      <c r="M368" s="464">
        <f>856*1.05*1.04*1.06*1.06*1.04*1.04*1.06</f>
        <v>1204.1502424154116</v>
      </c>
    </row>
    <row r="369" spans="1:13" x14ac:dyDescent="0.25">
      <c r="A369" s="393" t="s">
        <v>710</v>
      </c>
      <c r="B369" s="40"/>
      <c r="C369" s="40">
        <v>9.6000000000000002E-2</v>
      </c>
      <c r="D369" s="40" t="s">
        <v>36</v>
      </c>
      <c r="E369" s="41" t="s">
        <v>711</v>
      </c>
      <c r="F369" s="40"/>
      <c r="G369" s="480">
        <v>1798</v>
      </c>
      <c r="H369" s="471">
        <f t="shared" si="17"/>
        <v>2121.64</v>
      </c>
      <c r="I369" s="410"/>
      <c r="J369" s="652"/>
      <c r="K369" s="652"/>
      <c r="L369" s="391">
        <v>0.223</v>
      </c>
      <c r="M369" s="464">
        <f>892*1.035*1.04*1.06*1.06*1.04*1.04*1.06</f>
        <v>1236.8664739683531</v>
      </c>
    </row>
    <row r="370" spans="1:13" x14ac:dyDescent="0.25">
      <c r="A370" s="393" t="s">
        <v>712</v>
      </c>
      <c r="B370" s="40"/>
      <c r="C370" s="40">
        <v>0.10299999999999999</v>
      </c>
      <c r="D370" s="40" t="s">
        <v>36</v>
      </c>
      <c r="E370" s="41" t="s">
        <v>713</v>
      </c>
      <c r="F370" s="40"/>
      <c r="G370" s="480">
        <v>1952</v>
      </c>
      <c r="H370" s="471">
        <f t="shared" si="17"/>
        <v>2303.3599999999997</v>
      </c>
      <c r="I370" s="410"/>
      <c r="J370" s="652"/>
      <c r="K370" s="652"/>
      <c r="L370" s="391">
        <v>0.24099999999999999</v>
      </c>
      <c r="M370" s="464">
        <f>1006*1.1*1.04*1.06*1.06*1.04*1.04*1.04</f>
        <v>1454.5737761325065</v>
      </c>
    </row>
    <row r="371" spans="1:13" x14ac:dyDescent="0.25">
      <c r="A371" s="393" t="s">
        <v>714</v>
      </c>
      <c r="B371" s="40"/>
      <c r="C371" s="40">
        <v>0.11</v>
      </c>
      <c r="D371" s="40" t="s">
        <v>36</v>
      </c>
      <c r="E371" s="41" t="s">
        <v>715</v>
      </c>
      <c r="F371" s="40">
        <v>0.25</v>
      </c>
      <c r="G371" s="480">
        <f>1026.61*1.08*1.05*1.06*1.06*1.05*0.98*1.1*1.04*1.06*1.06*1.04*1.04*1.1*0.98</f>
        <v>2017.2923639995126</v>
      </c>
      <c r="H371" s="471">
        <f t="shared" si="17"/>
        <v>2380.4049895194248</v>
      </c>
      <c r="I371" s="410"/>
      <c r="J371" s="652"/>
      <c r="K371" s="652"/>
      <c r="L371" s="391">
        <v>0.27500000000000002</v>
      </c>
      <c r="M371" s="464">
        <f>1204*1.1*1.04*1.06*1.06*1.04*1.04*1.04</f>
        <v>1740.861656524391</v>
      </c>
    </row>
    <row r="372" spans="1:13" x14ac:dyDescent="0.25">
      <c r="A372" s="393" t="s">
        <v>716</v>
      </c>
      <c r="B372" s="40"/>
      <c r="C372" s="40">
        <v>0.114</v>
      </c>
      <c r="D372" s="40" t="s">
        <v>36</v>
      </c>
      <c r="E372" s="41" t="s">
        <v>717</v>
      </c>
      <c r="F372" s="40">
        <v>0.28500000000000003</v>
      </c>
      <c r="G372" s="480">
        <f>1413.06*1.08*1.05*1.02*1.02*0.94*1.1*1.04*1.06*1.06*1.04*1.04*1.1*0.98</f>
        <v>2348.686486147059</v>
      </c>
      <c r="H372" s="471">
        <f t="shared" si="17"/>
        <v>2771.4500536535293</v>
      </c>
      <c r="I372" s="410"/>
    </row>
    <row r="373" spans="1:13" x14ac:dyDescent="0.25">
      <c r="A373" s="393" t="s">
        <v>718</v>
      </c>
      <c r="B373" s="40"/>
      <c r="C373" s="40">
        <v>0.13500000000000001</v>
      </c>
      <c r="D373" s="40" t="s">
        <v>36</v>
      </c>
      <c r="E373" s="41" t="s">
        <v>719</v>
      </c>
      <c r="F373" s="40">
        <v>0.33800000000000002</v>
      </c>
      <c r="G373" s="480">
        <f>1564.4*1.06*1.05*1.04*1.04*1.07*1.1*1.04*1.06*1.06*1.04*1.04*1.1*0.98</f>
        <v>3020.0673092572474</v>
      </c>
      <c r="H373" s="471">
        <f t="shared" si="17"/>
        <v>3563.6794249235518</v>
      </c>
      <c r="I373" s="410"/>
    </row>
    <row r="374" spans="1:13" x14ac:dyDescent="0.25">
      <c r="A374" s="393" t="s">
        <v>720</v>
      </c>
      <c r="B374" s="40"/>
      <c r="C374" s="40">
        <v>0.13500000000000001</v>
      </c>
      <c r="D374" s="40" t="s">
        <v>36</v>
      </c>
      <c r="E374" s="41" t="s">
        <v>719</v>
      </c>
      <c r="F374" s="40">
        <v>0.33800000000000002</v>
      </c>
      <c r="G374" s="480">
        <f>1689.45*1.08*1.06*1.06*1.04*1.1*1.04*1.06*1.06*1.04*1.04*1.08*0.98</f>
        <v>3137.3894602605092</v>
      </c>
      <c r="H374" s="471">
        <f t="shared" si="17"/>
        <v>3702.1195631074006</v>
      </c>
      <c r="I374" s="410"/>
    </row>
    <row r="375" spans="1:13" x14ac:dyDescent="0.25">
      <c r="A375" s="393" t="s">
        <v>721</v>
      </c>
      <c r="B375" s="40"/>
      <c r="C375" s="40">
        <v>0.15</v>
      </c>
      <c r="D375" s="40" t="s">
        <v>36</v>
      </c>
      <c r="E375" s="41" t="s">
        <v>722</v>
      </c>
      <c r="F375" s="40">
        <v>0.375</v>
      </c>
      <c r="G375" s="480">
        <f>2284.72*1.02*0.95*1.1*1.04*1.06*1.06*1.04*1.05*1.07*0.9*0.98</f>
        <v>2932.7126782844466</v>
      </c>
      <c r="H375" s="471">
        <f t="shared" si="17"/>
        <v>3460.600960375647</v>
      </c>
      <c r="I375" s="410"/>
    </row>
    <row r="376" spans="1:13" x14ac:dyDescent="0.25">
      <c r="A376" s="393" t="s">
        <v>723</v>
      </c>
      <c r="B376" s="40"/>
      <c r="C376" s="40">
        <v>0.15</v>
      </c>
      <c r="D376" s="40" t="s">
        <v>36</v>
      </c>
      <c r="E376" s="41" t="s">
        <v>722</v>
      </c>
      <c r="F376" s="40">
        <v>0.375</v>
      </c>
      <c r="G376" s="480">
        <f>2241.54*1.08*1.06*0.92*1.05*1.04*1.06*1.06*1.04*1.05*1.08*0.98</f>
        <v>3347.8869133430253</v>
      </c>
      <c r="H376" s="471">
        <f t="shared" si="17"/>
        <v>3950.5065577447695</v>
      </c>
      <c r="I376" s="410"/>
    </row>
    <row r="377" spans="1:13" x14ac:dyDescent="0.25">
      <c r="A377" s="393" t="s">
        <v>724</v>
      </c>
      <c r="B377" s="40"/>
      <c r="C377" s="40">
        <v>0.16400000000000001</v>
      </c>
      <c r="D377" s="40" t="s">
        <v>36</v>
      </c>
      <c r="E377" s="41" t="s">
        <v>725</v>
      </c>
      <c r="F377" s="40">
        <v>0.41</v>
      </c>
      <c r="G377" s="480">
        <v>3726</v>
      </c>
      <c r="H377" s="471">
        <f t="shared" si="17"/>
        <v>4396.6799999999994</v>
      </c>
      <c r="I377" s="410"/>
    </row>
    <row r="378" spans="1:13" x14ac:dyDescent="0.25">
      <c r="A378" s="393" t="s">
        <v>726</v>
      </c>
      <c r="B378" s="40"/>
      <c r="C378" s="40">
        <v>0.16400000000000001</v>
      </c>
      <c r="D378" s="40" t="s">
        <v>36</v>
      </c>
      <c r="E378" s="41" t="s">
        <v>725</v>
      </c>
      <c r="F378" s="40">
        <v>0.41</v>
      </c>
      <c r="G378" s="480">
        <v>4126</v>
      </c>
      <c r="H378" s="471">
        <f t="shared" si="17"/>
        <v>4868.6799999999994</v>
      </c>
      <c r="I378" s="410"/>
    </row>
    <row r="379" spans="1:13" x14ac:dyDescent="0.25">
      <c r="A379" s="393" t="s">
        <v>727</v>
      </c>
      <c r="B379" s="40"/>
      <c r="C379" s="40">
        <v>0.185</v>
      </c>
      <c r="D379" s="40" t="s">
        <v>36</v>
      </c>
      <c r="E379" s="41" t="s">
        <v>728</v>
      </c>
      <c r="F379" s="40">
        <v>0.46300000000000002</v>
      </c>
      <c r="G379" s="480">
        <f>4268*0.98</f>
        <v>4182.6400000000003</v>
      </c>
      <c r="H379" s="471">
        <f t="shared" si="17"/>
        <v>4935.5151999999998</v>
      </c>
      <c r="I379" s="410"/>
    </row>
    <row r="380" spans="1:13" x14ac:dyDescent="0.25">
      <c r="A380" s="393" t="s">
        <v>729</v>
      </c>
      <c r="B380" s="40"/>
      <c r="C380" s="40">
        <v>0.2</v>
      </c>
      <c r="D380" s="40" t="s">
        <v>36</v>
      </c>
      <c r="E380" s="41" t="s">
        <v>730</v>
      </c>
      <c r="F380" s="40">
        <v>0.5</v>
      </c>
      <c r="G380" s="480">
        <f>2912*1.08*1.04*1.06*1.06*1.04*1.05*1.06*1.025*0.98</f>
        <v>4273.0565532277951</v>
      </c>
      <c r="H380" s="471">
        <f t="shared" si="17"/>
        <v>5042.2067328087978</v>
      </c>
      <c r="I380" s="410"/>
    </row>
    <row r="381" spans="1:13" x14ac:dyDescent="0.25">
      <c r="A381" s="393" t="s">
        <v>731</v>
      </c>
      <c r="B381" s="40" t="s">
        <v>872</v>
      </c>
      <c r="C381" s="40">
        <v>7.5999999999999998E-2</v>
      </c>
      <c r="D381" s="40" t="s">
        <v>36</v>
      </c>
      <c r="E381" s="41" t="s">
        <v>732</v>
      </c>
      <c r="F381" s="40">
        <v>0.189</v>
      </c>
      <c r="G381" s="480">
        <f>856*1.05*1.04*1.06*1.06*1.04*1.04*1.06</f>
        <v>1204.1502424154116</v>
      </c>
      <c r="H381" s="471">
        <f t="shared" si="17"/>
        <v>1420.8972860501856</v>
      </c>
      <c r="I381" s="410"/>
    </row>
    <row r="382" spans="1:13" x14ac:dyDescent="0.25">
      <c r="A382" s="393" t="s">
        <v>733</v>
      </c>
      <c r="B382" s="40"/>
      <c r="C382" s="40">
        <v>8.8999999999999996E-2</v>
      </c>
      <c r="D382" s="40" t="s">
        <v>36</v>
      </c>
      <c r="E382" s="41" t="s">
        <v>734</v>
      </c>
      <c r="F382" s="40">
        <v>0.223</v>
      </c>
      <c r="G382" s="480">
        <f>892*1.035*1.04*1.06*1.06*1.04*1.04*1.06*0.98</f>
        <v>1212.129144488986</v>
      </c>
      <c r="H382" s="471">
        <f t="shared" si="17"/>
        <v>1430.3123904970034</v>
      </c>
      <c r="I382" s="410"/>
    </row>
    <row r="383" spans="1:13" x14ac:dyDescent="0.25">
      <c r="A383" s="393" t="s">
        <v>735</v>
      </c>
      <c r="B383" s="40"/>
      <c r="C383" s="40">
        <v>9.6000000000000002E-2</v>
      </c>
      <c r="D383" s="40" t="s">
        <v>36</v>
      </c>
      <c r="E383" s="41" t="s">
        <v>736</v>
      </c>
      <c r="F383" s="40">
        <v>0.24099999999999999</v>
      </c>
      <c r="G383" s="480">
        <f>1006*1.1*1.04*1.06*1.06*1.04*1.04*1.04*0.98</f>
        <v>1425.4823006098563</v>
      </c>
      <c r="H383" s="471">
        <f t="shared" si="17"/>
        <v>1682.0691147196303</v>
      </c>
      <c r="I383" s="410"/>
    </row>
    <row r="384" spans="1:13" x14ac:dyDescent="0.25">
      <c r="A384" s="393" t="s">
        <v>737</v>
      </c>
      <c r="B384" s="40"/>
      <c r="C384" s="40">
        <v>0.15</v>
      </c>
      <c r="D384" s="40" t="s">
        <v>36</v>
      </c>
      <c r="E384" s="41" t="s">
        <v>738</v>
      </c>
      <c r="F384" s="40">
        <v>0.27500000000000002</v>
      </c>
      <c r="G384" s="480">
        <f>1204*1.1*1.04*1.06*1.06*1.04*1.04*1.04*0.98</f>
        <v>1706.0444233939031</v>
      </c>
      <c r="H384" s="471">
        <f t="shared" si="17"/>
        <v>2013.1324196048056</v>
      </c>
      <c r="I384" s="465"/>
    </row>
    <row r="385" spans="1:9" x14ac:dyDescent="0.25">
      <c r="A385" s="393" t="s">
        <v>739</v>
      </c>
      <c r="B385" s="40"/>
      <c r="C385" s="40">
        <v>0.15</v>
      </c>
      <c r="D385" s="40" t="s">
        <v>36</v>
      </c>
      <c r="E385" s="41" t="s">
        <v>740</v>
      </c>
      <c r="F385" s="40">
        <v>0.31</v>
      </c>
      <c r="G385" s="480">
        <f>1350*1.1*1.04*1.06*1.06*1.04*1.04*1.03*0.98</f>
        <v>1894.5300686247945</v>
      </c>
      <c r="H385" s="471">
        <f t="shared" si="17"/>
        <v>2235.5454809772573</v>
      </c>
      <c r="I385" s="410"/>
    </row>
    <row r="386" spans="1:9" x14ac:dyDescent="0.25">
      <c r="A386" s="393" t="s">
        <v>741</v>
      </c>
      <c r="B386" s="40"/>
      <c r="C386" s="40">
        <v>0.13100000000000001</v>
      </c>
      <c r="D386" s="40" t="s">
        <v>36</v>
      </c>
      <c r="E386" s="41" t="s">
        <v>742</v>
      </c>
      <c r="F386" s="40">
        <v>0.32700000000000001</v>
      </c>
      <c r="G386" s="480">
        <f>1382*1.07*1.04*1.06*1.06*1.04*1.04*1.04*0.98</f>
        <v>1904.8596576936725</v>
      </c>
      <c r="H386" s="471">
        <f t="shared" si="17"/>
        <v>2247.7343960785333</v>
      </c>
      <c r="I386" s="410"/>
    </row>
    <row r="387" spans="1:9" x14ac:dyDescent="0.25">
      <c r="A387" s="393" t="s">
        <v>743</v>
      </c>
      <c r="B387" s="40"/>
      <c r="C387" s="40">
        <v>0.11900000000000001</v>
      </c>
      <c r="D387" s="40" t="s">
        <v>36</v>
      </c>
      <c r="E387" s="41" t="s">
        <v>744</v>
      </c>
      <c r="F387" s="40">
        <v>0.29699999999999999</v>
      </c>
      <c r="G387" s="480">
        <f>2206*0.98</f>
        <v>2161.88</v>
      </c>
      <c r="H387" s="471">
        <f t="shared" si="17"/>
        <v>2551.0183999999999</v>
      </c>
      <c r="I387" s="410"/>
    </row>
    <row r="388" spans="1:9" x14ac:dyDescent="0.25">
      <c r="A388" s="393" t="s">
        <v>745</v>
      </c>
      <c r="B388" s="40"/>
      <c r="C388" s="40">
        <v>0.151</v>
      </c>
      <c r="D388" s="40" t="s">
        <v>36</v>
      </c>
      <c r="E388" s="41" t="s">
        <v>746</v>
      </c>
      <c r="F388" s="40">
        <v>0.378</v>
      </c>
      <c r="G388" s="480">
        <f>2916*0.98</f>
        <v>2857.68</v>
      </c>
      <c r="H388" s="471">
        <f t="shared" si="17"/>
        <v>3372.0623999999998</v>
      </c>
      <c r="I388" s="465"/>
    </row>
    <row r="389" spans="1:9" x14ac:dyDescent="0.25">
      <c r="A389" s="393" t="s">
        <v>747</v>
      </c>
      <c r="B389" s="40"/>
      <c r="C389" s="40">
        <v>0.17300000000000001</v>
      </c>
      <c r="D389" s="40" t="s">
        <v>36</v>
      </c>
      <c r="E389" s="41" t="s">
        <v>748</v>
      </c>
      <c r="F389" s="40">
        <v>0.433</v>
      </c>
      <c r="G389" s="487">
        <f>3512*0.98</f>
        <v>3441.7599999999998</v>
      </c>
      <c r="H389" s="471">
        <f t="shared" si="17"/>
        <v>4061.2767999999996</v>
      </c>
      <c r="I389" s="489"/>
    </row>
    <row r="390" spans="1:9" x14ac:dyDescent="0.25">
      <c r="A390" s="393" t="s">
        <v>749</v>
      </c>
      <c r="B390" s="40"/>
      <c r="C390" s="40">
        <v>0.22700000000000001</v>
      </c>
      <c r="D390" s="40" t="s">
        <v>36</v>
      </c>
      <c r="E390" s="41" t="s">
        <v>750</v>
      </c>
      <c r="F390" s="40">
        <v>0.56800000000000006</v>
      </c>
      <c r="G390" s="480">
        <f>4970*0.98</f>
        <v>4870.6000000000004</v>
      </c>
      <c r="H390" s="471">
        <f t="shared" si="17"/>
        <v>5747.308</v>
      </c>
      <c r="I390" s="489"/>
    </row>
    <row r="391" spans="1:9" ht="15.75" thickBot="1" x14ac:dyDescent="0.3">
      <c r="A391" s="469" t="s">
        <v>752</v>
      </c>
      <c r="B391" s="519"/>
      <c r="C391" s="331">
        <v>0.249</v>
      </c>
      <c r="D391" s="331" t="s">
        <v>36</v>
      </c>
      <c r="E391" s="332" t="s">
        <v>753</v>
      </c>
      <c r="F391" s="331">
        <v>0.623</v>
      </c>
      <c r="G391" s="481">
        <f>3167.95*1.05*1.12*0.98</f>
        <v>3650.9990159999998</v>
      </c>
      <c r="H391" s="473">
        <f>G391*1.18</f>
        <v>4308.1788388799996</v>
      </c>
      <c r="I391" s="489"/>
    </row>
    <row r="392" spans="1:9" x14ac:dyDescent="0.25">
      <c r="A392" s="467" t="s">
        <v>754</v>
      </c>
      <c r="B392" s="432" t="s">
        <v>873</v>
      </c>
      <c r="C392" s="432">
        <v>0.39100000000000001</v>
      </c>
      <c r="D392" s="432" t="s">
        <v>36</v>
      </c>
      <c r="E392" s="468" t="s">
        <v>755</v>
      </c>
      <c r="F392" s="432">
        <v>0.97499999999999998</v>
      </c>
      <c r="G392" s="480">
        <f>8425.88*1.04*1.08*0.98</f>
        <v>9274.6694476799985</v>
      </c>
      <c r="H392" s="471">
        <f>G392*1.18</f>
        <v>10944.109948262398</v>
      </c>
    </row>
    <row r="393" spans="1:9" ht="15.75" thickBot="1" x14ac:dyDescent="0.3">
      <c r="A393" s="469"/>
      <c r="B393" s="331"/>
      <c r="C393" s="331"/>
      <c r="D393" s="331"/>
      <c r="E393" s="332"/>
      <c r="F393" s="331"/>
      <c r="G393" s="481"/>
      <c r="H393" s="473"/>
      <c r="I393" s="489"/>
    </row>
    <row r="394" spans="1:9" ht="15.75" thickBot="1" x14ac:dyDescent="0.3">
      <c r="A394" s="511"/>
      <c r="B394" s="488" t="s">
        <v>770</v>
      </c>
      <c r="C394" s="465"/>
      <c r="D394" s="465"/>
      <c r="E394" s="478"/>
      <c r="F394" s="478"/>
      <c r="G394" s="557"/>
      <c r="H394" s="558"/>
      <c r="I394" s="489"/>
    </row>
    <row r="395" spans="1:9" x14ac:dyDescent="0.25">
      <c r="A395" s="495" t="s">
        <v>756</v>
      </c>
      <c r="B395" s="496" t="s">
        <v>757</v>
      </c>
      <c r="C395" s="497">
        <v>0.60000000000000009</v>
      </c>
      <c r="D395" s="498" t="s">
        <v>16</v>
      </c>
      <c r="E395" s="498" t="s">
        <v>758</v>
      </c>
      <c r="F395" s="499">
        <v>1.5</v>
      </c>
      <c r="G395" s="500">
        <f>14201*1*0.98*0.98</f>
        <v>13638.6404</v>
      </c>
      <c r="H395" s="448">
        <f>G395*1.18</f>
        <v>16093.595671999999</v>
      </c>
      <c r="I395" s="489"/>
    </row>
    <row r="396" spans="1:9" x14ac:dyDescent="0.25">
      <c r="A396" s="501" t="s">
        <v>759</v>
      </c>
      <c r="B396" s="490" t="s">
        <v>757</v>
      </c>
      <c r="C396" s="491">
        <v>0.1</v>
      </c>
      <c r="D396" s="492" t="s">
        <v>302</v>
      </c>
      <c r="E396" s="492" t="s">
        <v>760</v>
      </c>
      <c r="F396" s="493">
        <v>0.25</v>
      </c>
      <c r="G396" s="494">
        <f>1830*1.04*1.06*1.04*1.05*1.03*1.15*1.04*0.98</f>
        <v>2659.5454265243134</v>
      </c>
      <c r="H396" s="452">
        <f>G396*1.18</f>
        <v>3138.2636032986898</v>
      </c>
    </row>
    <row r="397" spans="1:9" x14ac:dyDescent="0.25">
      <c r="A397" s="501" t="s">
        <v>761</v>
      </c>
      <c r="B397" s="490" t="s">
        <v>757</v>
      </c>
      <c r="C397" s="491">
        <v>0.17</v>
      </c>
      <c r="D397" s="492" t="s">
        <v>302</v>
      </c>
      <c r="E397" s="492" t="s">
        <v>762</v>
      </c>
      <c r="F397" s="493">
        <v>0.43</v>
      </c>
      <c r="G397" s="494">
        <f>2452*1.04*1.06*1.04*1.05*1.03*1.15*1.05*0.98</f>
        <v>3597.7646359444607</v>
      </c>
      <c r="H397" s="452">
        <f>G397*1.18</f>
        <v>4245.3622704144636</v>
      </c>
      <c r="I397" s="515"/>
    </row>
    <row r="398" spans="1:9" ht="15.75" thickBot="1" x14ac:dyDescent="0.3">
      <c r="A398" s="502" t="s">
        <v>763</v>
      </c>
      <c r="B398" s="503" t="s">
        <v>757</v>
      </c>
      <c r="C398" s="504">
        <v>0.15</v>
      </c>
      <c r="D398" s="505" t="s">
        <v>302</v>
      </c>
      <c r="E398" s="505" t="s">
        <v>764</v>
      </c>
      <c r="F398" s="506">
        <v>0.38</v>
      </c>
      <c r="G398" s="507">
        <f>1970*1.04*1.06*1.04*1.05*1.03*1.15*1.04</f>
        <v>2921.4366511948806</v>
      </c>
      <c r="H398" s="456">
        <f>G398*1.18</f>
        <v>3447.2952484099587</v>
      </c>
      <c r="I398" s="515"/>
    </row>
    <row r="399" spans="1:9" ht="15.75" thickBot="1" x14ac:dyDescent="0.3">
      <c r="A399" s="512"/>
      <c r="B399" s="514" t="s">
        <v>771</v>
      </c>
      <c r="C399" s="426"/>
      <c r="D399" s="426"/>
      <c r="E399" s="426"/>
      <c r="F399" s="426"/>
      <c r="G399" s="427"/>
      <c r="H399" s="185"/>
      <c r="I399" s="515"/>
    </row>
    <row r="400" spans="1:9" x14ac:dyDescent="0.25">
      <c r="A400" s="495" t="s">
        <v>874</v>
      </c>
      <c r="B400" s="496" t="s">
        <v>765</v>
      </c>
      <c r="C400" s="497">
        <v>0.61499999999999999</v>
      </c>
      <c r="D400" s="498" t="s">
        <v>302</v>
      </c>
      <c r="E400" s="498" t="s">
        <v>766</v>
      </c>
      <c r="F400" s="499">
        <v>1.55</v>
      </c>
      <c r="G400" s="509">
        <f>8593.37*0.98</f>
        <v>8421.5025999999998</v>
      </c>
      <c r="H400" s="448">
        <f>G400*1.18</f>
        <v>9937.373067999999</v>
      </c>
      <c r="I400" s="515"/>
    </row>
    <row r="401" spans="1:9" x14ac:dyDescent="0.25">
      <c r="A401" s="501" t="s">
        <v>768</v>
      </c>
      <c r="B401" s="490" t="s">
        <v>765</v>
      </c>
      <c r="C401" s="491">
        <v>0.61499999999999999</v>
      </c>
      <c r="D401" s="492" t="s">
        <v>302</v>
      </c>
      <c r="E401" s="492" t="s">
        <v>766</v>
      </c>
      <c r="F401" s="493">
        <v>1.55</v>
      </c>
      <c r="G401" s="508">
        <f>9178.38*0.98</f>
        <v>8994.8123999999989</v>
      </c>
      <c r="H401" s="452">
        <f>G401*1.18</f>
        <v>10613.878631999998</v>
      </c>
      <c r="I401" s="515"/>
    </row>
    <row r="402" spans="1:9" ht="15.75" thickBot="1" x14ac:dyDescent="0.3">
      <c r="A402" s="502" t="s">
        <v>769</v>
      </c>
      <c r="B402" s="503" t="s">
        <v>767</v>
      </c>
      <c r="C402" s="504">
        <v>0.61499999999999999</v>
      </c>
      <c r="D402" s="505" t="s">
        <v>302</v>
      </c>
      <c r="E402" s="505" t="s">
        <v>766</v>
      </c>
      <c r="F402" s="506">
        <v>1.55</v>
      </c>
      <c r="G402" s="510">
        <f>9675.82*0.98</f>
        <v>9482.3035999999993</v>
      </c>
      <c r="H402" s="456">
        <f>G402*1.18</f>
        <v>11189.118247999999</v>
      </c>
      <c r="I402" s="515"/>
    </row>
    <row r="403" spans="1:9" ht="15.75" thickBot="1" x14ac:dyDescent="0.3">
      <c r="B403" s="463" t="s">
        <v>772</v>
      </c>
      <c r="I403" s="515"/>
    </row>
    <row r="404" spans="1:9" x14ac:dyDescent="0.25">
      <c r="A404" s="392" t="s">
        <v>512</v>
      </c>
      <c r="B404" s="86" t="s">
        <v>513</v>
      </c>
      <c r="C404" s="170">
        <v>2.37</v>
      </c>
      <c r="D404" s="170" t="s">
        <v>302</v>
      </c>
      <c r="E404" s="169" t="s">
        <v>514</v>
      </c>
      <c r="F404" s="170">
        <v>3.27</v>
      </c>
      <c r="G404" s="395">
        <v>18860</v>
      </c>
      <c r="H404" s="195">
        <f>G404*1.18</f>
        <v>22254.799999999999</v>
      </c>
      <c r="I404" s="515"/>
    </row>
    <row r="405" spans="1:9" x14ac:dyDescent="0.25">
      <c r="A405" s="393" t="s">
        <v>515</v>
      </c>
      <c r="B405" s="33" t="s">
        <v>513</v>
      </c>
      <c r="C405" s="40">
        <v>1.88</v>
      </c>
      <c r="D405" s="40" t="s">
        <v>302</v>
      </c>
      <c r="E405" s="41" t="s">
        <v>516</v>
      </c>
      <c r="F405" s="40">
        <v>2.5</v>
      </c>
      <c r="G405" s="396">
        <f>14572*1.032</f>
        <v>15038.304</v>
      </c>
      <c r="H405" s="197">
        <f>G405*1.18</f>
        <v>17745.19872</v>
      </c>
      <c r="I405" s="515"/>
    </row>
    <row r="406" spans="1:9" x14ac:dyDescent="0.25">
      <c r="A406" s="393"/>
      <c r="B406" s="33"/>
      <c r="C406" s="40"/>
      <c r="D406" s="40"/>
      <c r="E406" s="41"/>
      <c r="F406" s="40"/>
      <c r="G406" s="397"/>
      <c r="H406" s="197"/>
      <c r="I406" s="515"/>
    </row>
    <row r="407" spans="1:9" x14ac:dyDescent="0.25">
      <c r="A407" s="393" t="s">
        <v>517</v>
      </c>
      <c r="B407" s="33" t="s">
        <v>518</v>
      </c>
      <c r="C407" s="40">
        <v>2.23</v>
      </c>
      <c r="D407" s="40" t="s">
        <v>11</v>
      </c>
      <c r="E407" s="41" t="s">
        <v>519</v>
      </c>
      <c r="F407" s="40">
        <v>3.09</v>
      </c>
      <c r="G407" s="398">
        <v>15422</v>
      </c>
      <c r="H407" s="197">
        <f>G407*1.18</f>
        <v>18197.96</v>
      </c>
      <c r="I407" s="515"/>
    </row>
    <row r="408" spans="1:9" x14ac:dyDescent="0.25">
      <c r="A408" s="393" t="s">
        <v>520</v>
      </c>
      <c r="B408" s="33" t="s">
        <v>518</v>
      </c>
      <c r="C408" s="40">
        <v>1.78</v>
      </c>
      <c r="D408" s="40" t="s">
        <v>127</v>
      </c>
      <c r="E408" s="41" t="s">
        <v>521</v>
      </c>
      <c r="F408" s="40">
        <v>2.38</v>
      </c>
      <c r="G408" s="396">
        <f>G405/7.18*6.6</f>
        <v>13823.510640668525</v>
      </c>
      <c r="H408" s="197">
        <f>G408*1.18</f>
        <v>16311.742555988858</v>
      </c>
      <c r="I408" s="515"/>
    </row>
    <row r="409" spans="1:9" x14ac:dyDescent="0.25">
      <c r="A409" s="393" t="s">
        <v>522</v>
      </c>
      <c r="B409" s="33" t="s">
        <v>518</v>
      </c>
      <c r="C409" s="40">
        <v>2.23</v>
      </c>
      <c r="D409" s="40" t="s">
        <v>302</v>
      </c>
      <c r="E409" s="41" t="s">
        <v>523</v>
      </c>
      <c r="F409" s="40">
        <v>3</v>
      </c>
      <c r="G409" s="398">
        <v>15014</v>
      </c>
      <c r="H409" s="197">
        <f>G409*1.18</f>
        <v>17716.52</v>
      </c>
      <c r="I409" s="515"/>
    </row>
    <row r="410" spans="1:9" x14ac:dyDescent="0.25">
      <c r="A410" s="393" t="s">
        <v>524</v>
      </c>
      <c r="B410" s="33" t="s">
        <v>518</v>
      </c>
      <c r="C410" s="40">
        <v>1.78</v>
      </c>
      <c r="D410" s="40" t="s">
        <v>302</v>
      </c>
      <c r="E410" s="41" t="s">
        <v>521</v>
      </c>
      <c r="F410" s="40">
        <v>2.2999999999999998</v>
      </c>
      <c r="G410" s="396">
        <f>G405/7.18*6.5</f>
        <v>13614.063509749305</v>
      </c>
      <c r="H410" s="197">
        <f>G410*1.18</f>
        <v>16064.59494150418</v>
      </c>
      <c r="I410" s="515"/>
    </row>
    <row r="411" spans="1:9" x14ac:dyDescent="0.25">
      <c r="A411" s="393"/>
      <c r="B411" s="33"/>
      <c r="C411" s="40"/>
      <c r="D411" s="40"/>
      <c r="E411" s="41"/>
      <c r="F411" s="40"/>
      <c r="G411" s="397"/>
      <c r="H411" s="197"/>
      <c r="I411" s="515"/>
    </row>
    <row r="412" spans="1:9" x14ac:dyDescent="0.25">
      <c r="A412" s="393" t="s">
        <v>525</v>
      </c>
      <c r="B412" s="33" t="s">
        <v>513</v>
      </c>
      <c r="C412" s="40">
        <v>2.09</v>
      </c>
      <c r="D412" s="40" t="s">
        <v>302</v>
      </c>
      <c r="E412" s="41" t="s">
        <v>526</v>
      </c>
      <c r="F412" s="40">
        <v>2.9</v>
      </c>
      <c r="G412" s="398">
        <v>14390</v>
      </c>
      <c r="H412" s="197">
        <f>G412*1.18</f>
        <v>16980.2</v>
      </c>
      <c r="I412" s="515"/>
    </row>
    <row r="413" spans="1:9" x14ac:dyDescent="0.25">
      <c r="A413" s="393" t="s">
        <v>527</v>
      </c>
      <c r="B413" s="33" t="s">
        <v>513</v>
      </c>
      <c r="C413" s="40">
        <v>1.6800000000000002</v>
      </c>
      <c r="D413" s="40" t="s">
        <v>302</v>
      </c>
      <c r="E413" s="41" t="s">
        <v>528</v>
      </c>
      <c r="F413" s="40">
        <v>2.2000000000000002</v>
      </c>
      <c r="G413" s="396">
        <v>12095</v>
      </c>
      <c r="H413" s="197">
        <f>G413*1.18</f>
        <v>14272.099999999999</v>
      </c>
      <c r="I413" s="515"/>
    </row>
    <row r="414" spans="1:9" ht="15.75" thickBot="1" x14ac:dyDescent="0.3">
      <c r="A414" s="617"/>
      <c r="B414" s="516"/>
      <c r="C414" s="32"/>
      <c r="D414" s="32"/>
      <c r="E414" s="31"/>
      <c r="F414" s="32"/>
      <c r="G414" s="622"/>
      <c r="H414" s="623"/>
      <c r="I414" s="515"/>
    </row>
    <row r="415" spans="1:9" ht="15.75" thickBot="1" x14ac:dyDescent="0.3">
      <c r="A415" s="572">
        <v>1</v>
      </c>
      <c r="B415" s="573">
        <v>2</v>
      </c>
      <c r="C415" s="573">
        <v>3</v>
      </c>
      <c r="D415" s="573">
        <v>4</v>
      </c>
      <c r="E415" s="574">
        <v>5</v>
      </c>
      <c r="F415" s="573">
        <v>6</v>
      </c>
      <c r="G415" s="574">
        <v>7</v>
      </c>
      <c r="H415" s="575">
        <v>8</v>
      </c>
      <c r="I415" s="515"/>
    </row>
    <row r="416" spans="1:9" x14ac:dyDescent="0.25">
      <c r="A416" s="393" t="s">
        <v>529</v>
      </c>
      <c r="B416" s="33" t="s">
        <v>530</v>
      </c>
      <c r="C416" s="40">
        <v>2.06</v>
      </c>
      <c r="D416" s="40" t="s">
        <v>302</v>
      </c>
      <c r="E416" s="41" t="s">
        <v>531</v>
      </c>
      <c r="F416" s="40">
        <v>2.95</v>
      </c>
      <c r="G416" s="398">
        <f>1.1*4419.77*1.08*1.08*1.06*1.1*1.05*1.095*1.057*1.021*0.8502*0.96*0.98*1.11*1.04*1.06*1.04*1.04*1.04*1.12*1.06</f>
        <v>10723.759423414229</v>
      </c>
      <c r="H416" s="197">
        <f>G416*1.18</f>
        <v>12654.036119628789</v>
      </c>
      <c r="I416" s="515"/>
    </row>
    <row r="417" spans="1:9" x14ac:dyDescent="0.25">
      <c r="A417" s="393" t="s">
        <v>532</v>
      </c>
      <c r="B417" s="33" t="s">
        <v>530</v>
      </c>
      <c r="C417" s="40">
        <v>1.64</v>
      </c>
      <c r="D417" s="40" t="s">
        <v>302</v>
      </c>
      <c r="E417" s="41" t="s">
        <v>533</v>
      </c>
      <c r="F417" s="40">
        <v>2.2000000000000002</v>
      </c>
      <c r="G417" s="397">
        <f>4572.54*1.05*1.1*1.05*1.1*1.05*1.021*0.8486*0.96*0.98*1.1*1.04*1.06*1.04*1.05*1.04*1.12*1.060002</f>
        <v>8535.9022652535223</v>
      </c>
      <c r="H417" s="197">
        <f>G417*1.18</f>
        <v>10072.364672999156</v>
      </c>
      <c r="I417" s="515"/>
    </row>
    <row r="418" spans="1:9" x14ac:dyDescent="0.25">
      <c r="A418" s="393"/>
      <c r="B418" s="33"/>
      <c r="C418" s="40"/>
      <c r="D418" s="40"/>
      <c r="E418" s="41"/>
      <c r="F418" s="40"/>
      <c r="G418" s="397"/>
      <c r="H418" s="197"/>
      <c r="I418" s="515"/>
    </row>
    <row r="419" spans="1:9" x14ac:dyDescent="0.25">
      <c r="A419" s="393" t="s">
        <v>534</v>
      </c>
      <c r="B419" s="33" t="s">
        <v>535</v>
      </c>
      <c r="C419" s="40">
        <v>1.96</v>
      </c>
      <c r="D419" s="40" t="s">
        <v>302</v>
      </c>
      <c r="E419" s="41" t="s">
        <v>536</v>
      </c>
      <c r="F419" s="40">
        <v>2.8</v>
      </c>
      <c r="G419" s="399">
        <f>G416/6.28*5.8</f>
        <v>9904.1090216246048</v>
      </c>
      <c r="H419" s="197">
        <f>G419*1.18</f>
        <v>11686.848645517033</v>
      </c>
      <c r="I419" s="515"/>
    </row>
    <row r="420" spans="1:9" x14ac:dyDescent="0.25">
      <c r="A420" s="393" t="s">
        <v>537</v>
      </c>
      <c r="B420" s="33" t="s">
        <v>535</v>
      </c>
      <c r="C420" s="40">
        <v>1.6</v>
      </c>
      <c r="D420" s="40" t="s">
        <v>302</v>
      </c>
      <c r="E420" s="41" t="s">
        <v>538</v>
      </c>
      <c r="F420" s="40">
        <v>2.1</v>
      </c>
      <c r="G420" s="400">
        <f>6916.08*1.08*1.06</f>
        <v>7917.5283840000011</v>
      </c>
      <c r="H420" s="197">
        <f>G420*1.18</f>
        <v>9342.683493120001</v>
      </c>
      <c r="I420" s="515"/>
    </row>
    <row r="421" spans="1:9" x14ac:dyDescent="0.25">
      <c r="A421" s="393"/>
      <c r="B421" s="33"/>
      <c r="C421" s="40"/>
      <c r="D421" s="40"/>
      <c r="E421" s="41"/>
      <c r="F421" s="40"/>
      <c r="G421" s="401"/>
      <c r="H421" s="402"/>
      <c r="I421" s="515"/>
    </row>
    <row r="422" spans="1:9" x14ac:dyDescent="0.25">
      <c r="A422" s="393" t="s">
        <v>539</v>
      </c>
      <c r="B422" s="33" t="s">
        <v>535</v>
      </c>
      <c r="C422" s="40">
        <v>1.96</v>
      </c>
      <c r="D422" s="40" t="s">
        <v>302</v>
      </c>
      <c r="E422" s="41" t="s">
        <v>540</v>
      </c>
      <c r="F422" s="40">
        <v>2.68</v>
      </c>
      <c r="G422" s="399">
        <f>G419/5.88*5.8</f>
        <v>9769.3592390174672</v>
      </c>
      <c r="H422" s="197">
        <f>G422*1.18</f>
        <v>11527.843902040611</v>
      </c>
      <c r="I422" s="515"/>
    </row>
    <row r="423" spans="1:9" x14ac:dyDescent="0.25">
      <c r="A423" s="393" t="s">
        <v>541</v>
      </c>
      <c r="B423" s="33" t="s">
        <v>535</v>
      </c>
      <c r="C423" s="40">
        <v>1.6</v>
      </c>
      <c r="D423" s="40" t="s">
        <v>302</v>
      </c>
      <c r="E423" s="41" t="s">
        <v>542</v>
      </c>
      <c r="F423" s="40">
        <v>2.06</v>
      </c>
      <c r="G423" s="400">
        <v>7764</v>
      </c>
      <c r="H423" s="197">
        <f>G423*1.18</f>
        <v>9161.5199999999986</v>
      </c>
      <c r="I423" s="515"/>
    </row>
    <row r="424" spans="1:9" x14ac:dyDescent="0.25">
      <c r="A424" s="393"/>
      <c r="B424" s="33"/>
      <c r="C424" s="40"/>
      <c r="D424" s="40"/>
      <c r="E424" s="41"/>
      <c r="F424" s="40"/>
      <c r="G424" s="401"/>
      <c r="H424" s="197"/>
      <c r="I424" s="515"/>
    </row>
    <row r="425" spans="1:9" x14ac:dyDescent="0.25">
      <c r="A425" s="393" t="s">
        <v>543</v>
      </c>
      <c r="B425" s="33" t="s">
        <v>535</v>
      </c>
      <c r="C425" s="40">
        <v>1.9</v>
      </c>
      <c r="D425" s="40" t="s">
        <v>302</v>
      </c>
      <c r="E425" s="41" t="s">
        <v>544</v>
      </c>
      <c r="F425" s="40">
        <v>2.63</v>
      </c>
      <c r="G425" s="399">
        <f>G422/5.8*5.76</f>
        <v>9701.9843477138984</v>
      </c>
      <c r="H425" s="197">
        <f>G425*1.18</f>
        <v>11448.341530302399</v>
      </c>
      <c r="I425" s="515"/>
    </row>
    <row r="426" spans="1:9" x14ac:dyDescent="0.25">
      <c r="A426" s="393" t="s">
        <v>545</v>
      </c>
      <c r="B426" s="33" t="s">
        <v>535</v>
      </c>
      <c r="C426" s="40">
        <v>1.6</v>
      </c>
      <c r="D426" s="40" t="s">
        <v>302</v>
      </c>
      <c r="E426" s="41" t="s">
        <v>546</v>
      </c>
      <c r="F426" s="40">
        <v>2.0299999999999998</v>
      </c>
      <c r="G426" s="400">
        <v>7694</v>
      </c>
      <c r="H426" s="197">
        <f>G426*1.18</f>
        <v>9078.92</v>
      </c>
      <c r="I426" s="515"/>
    </row>
    <row r="427" spans="1:9" x14ac:dyDescent="0.25">
      <c r="A427" s="393"/>
      <c r="B427" s="33"/>
      <c r="C427" s="40"/>
      <c r="D427" s="40"/>
      <c r="E427" s="41"/>
      <c r="F427" s="40"/>
      <c r="G427" s="401"/>
      <c r="H427" s="197"/>
      <c r="I427" s="515"/>
    </row>
    <row r="428" spans="1:9" x14ac:dyDescent="0.25">
      <c r="A428" s="393" t="s">
        <v>547</v>
      </c>
      <c r="B428" s="33" t="s">
        <v>535</v>
      </c>
      <c r="C428" s="40">
        <v>1.87</v>
      </c>
      <c r="D428" s="40" t="s">
        <v>302</v>
      </c>
      <c r="E428" s="41" t="s">
        <v>548</v>
      </c>
      <c r="F428" s="40">
        <v>2.68</v>
      </c>
      <c r="G428" s="399">
        <f>G425/5.8*5.76</f>
        <v>9635.0741108331131</v>
      </c>
      <c r="H428" s="197">
        <f>G428*1.18</f>
        <v>11369.387450783073</v>
      </c>
      <c r="I428" s="515"/>
    </row>
    <row r="429" spans="1:9" x14ac:dyDescent="0.25">
      <c r="A429" s="393" t="s">
        <v>549</v>
      </c>
      <c r="B429" s="33" t="s">
        <v>535</v>
      </c>
      <c r="C429" s="40">
        <v>1.49</v>
      </c>
      <c r="D429" s="40" t="s">
        <v>302</v>
      </c>
      <c r="E429" s="41" t="s">
        <v>550</v>
      </c>
      <c r="F429" s="40">
        <v>2</v>
      </c>
      <c r="G429" s="400">
        <v>7514</v>
      </c>
      <c r="H429" s="197">
        <f>G429*1.18</f>
        <v>8866.52</v>
      </c>
      <c r="I429" s="515"/>
    </row>
    <row r="430" spans="1:9" x14ac:dyDescent="0.25">
      <c r="A430" s="393"/>
      <c r="B430" s="33"/>
      <c r="C430" s="40"/>
      <c r="D430" s="40"/>
      <c r="E430" s="41"/>
      <c r="F430" s="40"/>
      <c r="G430" s="401"/>
      <c r="H430" s="197"/>
      <c r="I430" s="515"/>
    </row>
    <row r="431" spans="1:9" x14ac:dyDescent="0.25">
      <c r="A431" s="393" t="s">
        <v>551</v>
      </c>
      <c r="B431" s="33" t="s">
        <v>552</v>
      </c>
      <c r="C431" s="40">
        <v>1.83</v>
      </c>
      <c r="D431" s="40" t="s">
        <v>302</v>
      </c>
      <c r="E431" s="41" t="s">
        <v>553</v>
      </c>
      <c r="F431" s="40">
        <v>2.6</v>
      </c>
      <c r="G431" s="399">
        <f>G428/5.76*5.65</f>
        <v>9451.0709594109539</v>
      </c>
      <c r="H431" s="197">
        <f>G431*1.18</f>
        <v>11152.263732104924</v>
      </c>
      <c r="I431" s="515"/>
    </row>
    <row r="432" spans="1:9" x14ac:dyDescent="0.25">
      <c r="A432" s="393" t="s">
        <v>554</v>
      </c>
      <c r="B432" s="33" t="s">
        <v>552</v>
      </c>
      <c r="C432" s="40">
        <v>1.46</v>
      </c>
      <c r="D432" s="40" t="s">
        <v>302</v>
      </c>
      <c r="E432" s="41" t="s">
        <v>555</v>
      </c>
      <c r="F432" s="40">
        <v>1.97</v>
      </c>
      <c r="G432" s="400">
        <f>6468.65*1.08*1.068</f>
        <v>7461.1996560000007</v>
      </c>
      <c r="H432" s="197">
        <f>G432*1.18</f>
        <v>8804.2155940800003</v>
      </c>
      <c r="I432" s="515"/>
    </row>
    <row r="433" spans="1:9" x14ac:dyDescent="0.25">
      <c r="A433" s="393"/>
      <c r="B433" s="33"/>
      <c r="C433" s="40"/>
      <c r="D433" s="40"/>
      <c r="E433" s="41"/>
      <c r="F433" s="40"/>
      <c r="G433" s="401"/>
      <c r="H433" s="197"/>
      <c r="I433" s="515"/>
    </row>
    <row r="434" spans="1:9" x14ac:dyDescent="0.25">
      <c r="A434" s="393" t="s">
        <v>556</v>
      </c>
      <c r="B434" s="33" t="s">
        <v>535</v>
      </c>
      <c r="C434" s="40">
        <v>1.77</v>
      </c>
      <c r="D434" s="40" t="s">
        <v>302</v>
      </c>
      <c r="E434" s="41" t="s">
        <v>557</v>
      </c>
      <c r="F434" s="40">
        <v>2.5300000000000002</v>
      </c>
      <c r="G434" s="399">
        <f>G431/5.65*5.4</f>
        <v>9032.8819789060453</v>
      </c>
      <c r="H434" s="197">
        <f>G434*1.18</f>
        <v>10658.800735109133</v>
      </c>
      <c r="I434" s="515"/>
    </row>
    <row r="435" spans="1:9" x14ac:dyDescent="0.25">
      <c r="A435" s="393" t="s">
        <v>558</v>
      </c>
      <c r="B435" s="33" t="s">
        <v>535</v>
      </c>
      <c r="C435" s="40">
        <v>1.41</v>
      </c>
      <c r="D435" s="40" t="s">
        <v>302</v>
      </c>
      <c r="E435" s="41" t="s">
        <v>559</v>
      </c>
      <c r="F435" s="40">
        <v>1.9</v>
      </c>
      <c r="G435" s="400">
        <v>7278.1</v>
      </c>
      <c r="H435" s="197">
        <f>G435*1.18</f>
        <v>8588.1579999999994</v>
      </c>
      <c r="I435" s="515"/>
    </row>
    <row r="436" spans="1:9" x14ac:dyDescent="0.25">
      <c r="A436" s="393"/>
      <c r="B436" s="33"/>
      <c r="C436" s="40"/>
      <c r="D436" s="40"/>
      <c r="E436" s="41"/>
      <c r="F436" s="40"/>
      <c r="G436" s="401"/>
      <c r="H436" s="197"/>
      <c r="I436" s="515"/>
    </row>
    <row r="437" spans="1:9" x14ac:dyDescent="0.25">
      <c r="A437" s="393" t="s">
        <v>560</v>
      </c>
      <c r="B437" s="33" t="s">
        <v>535</v>
      </c>
      <c r="C437" s="40">
        <v>1.73</v>
      </c>
      <c r="D437" s="40" t="s">
        <v>302</v>
      </c>
      <c r="E437" s="41" t="s">
        <v>561</v>
      </c>
      <c r="F437" s="40">
        <v>2.48</v>
      </c>
      <c r="G437" s="399">
        <f>G434/5.4*5.28</f>
        <v>8832.1512682636876</v>
      </c>
      <c r="H437" s="197">
        <f>G437*1.18</f>
        <v>10421.938496551151</v>
      </c>
      <c r="I437" s="515"/>
    </row>
    <row r="438" spans="1:9" x14ac:dyDescent="0.25">
      <c r="A438" s="393" t="s">
        <v>562</v>
      </c>
      <c r="B438" s="33" t="s">
        <v>535</v>
      </c>
      <c r="C438" s="40">
        <v>1.39</v>
      </c>
      <c r="D438" s="40" t="s">
        <v>302</v>
      </c>
      <c r="E438" s="41" t="s">
        <v>563</v>
      </c>
      <c r="F438" s="40">
        <v>1.87</v>
      </c>
      <c r="G438" s="400">
        <f>6067.94*1.08*1.066</f>
        <v>6985.897963200001</v>
      </c>
      <c r="H438" s="197">
        <f>G438*1.18</f>
        <v>8243.3595965760014</v>
      </c>
      <c r="I438" s="515"/>
    </row>
    <row r="439" spans="1:9" x14ac:dyDescent="0.25">
      <c r="A439" s="393"/>
      <c r="B439" s="33"/>
      <c r="C439" s="40"/>
      <c r="D439" s="40"/>
      <c r="E439" s="41"/>
      <c r="F439" s="40"/>
      <c r="G439" s="401"/>
      <c r="H439" s="197"/>
      <c r="I439" s="515"/>
    </row>
    <row r="440" spans="1:9" x14ac:dyDescent="0.25">
      <c r="A440" s="393" t="s">
        <v>564</v>
      </c>
      <c r="B440" s="33" t="s">
        <v>535</v>
      </c>
      <c r="C440" s="40">
        <v>1.67</v>
      </c>
      <c r="D440" s="40" t="s">
        <v>302</v>
      </c>
      <c r="E440" s="41" t="s">
        <v>565</v>
      </c>
      <c r="F440" s="40">
        <v>2.2400000000000002</v>
      </c>
      <c r="G440" s="399">
        <f>G437/5.28*5.08</f>
        <v>8497.6000838597593</v>
      </c>
      <c r="H440" s="197">
        <f>G440*1.18</f>
        <v>10027.168098954515</v>
      </c>
      <c r="I440" s="515"/>
    </row>
    <row r="441" spans="1:9" x14ac:dyDescent="0.25">
      <c r="A441" s="393" t="s">
        <v>566</v>
      </c>
      <c r="B441" s="33" t="s">
        <v>535</v>
      </c>
      <c r="C441" s="40">
        <v>1.26</v>
      </c>
      <c r="D441" s="40" t="s">
        <v>302</v>
      </c>
      <c r="E441" s="41" t="s">
        <v>567</v>
      </c>
      <c r="F441" s="40">
        <v>1.8</v>
      </c>
      <c r="G441" s="401">
        <v>6784</v>
      </c>
      <c r="H441" s="197">
        <f>G441*1.18</f>
        <v>8005.12</v>
      </c>
      <c r="I441" s="515"/>
    </row>
    <row r="442" spans="1:9" x14ac:dyDescent="0.25">
      <c r="A442" s="393"/>
      <c r="B442" s="33"/>
      <c r="C442" s="40"/>
      <c r="D442" s="40"/>
      <c r="E442" s="41"/>
      <c r="F442" s="40"/>
      <c r="G442" s="401"/>
      <c r="H442" s="402"/>
      <c r="I442" s="515"/>
    </row>
    <row r="443" spans="1:9" x14ac:dyDescent="0.25">
      <c r="A443" s="393" t="s">
        <v>568</v>
      </c>
      <c r="B443" s="33" t="s">
        <v>535</v>
      </c>
      <c r="C443" s="40">
        <v>1.57</v>
      </c>
      <c r="D443" s="40" t="s">
        <v>302</v>
      </c>
      <c r="E443" s="41" t="s">
        <v>569</v>
      </c>
      <c r="F443" s="40">
        <v>2.25</v>
      </c>
      <c r="G443" s="399">
        <f>G440/5.08*4.78</f>
        <v>7995.7733072538686</v>
      </c>
      <c r="H443" s="197">
        <f>G443*1.18</f>
        <v>9435.0125025595644</v>
      </c>
      <c r="I443" s="515"/>
    </row>
    <row r="444" spans="1:9" x14ac:dyDescent="0.25">
      <c r="A444" s="393" t="s">
        <v>570</v>
      </c>
      <c r="B444" s="33" t="s">
        <v>535</v>
      </c>
      <c r="C444" s="40">
        <v>1.26</v>
      </c>
      <c r="D444" s="40" t="s">
        <v>302</v>
      </c>
      <c r="E444" s="41" t="s">
        <v>571</v>
      </c>
      <c r="F444" s="40">
        <v>1.7000000000000002</v>
      </c>
      <c r="G444" s="401">
        <v>6544</v>
      </c>
      <c r="H444" s="197">
        <f>G444*1.18</f>
        <v>7721.9199999999992</v>
      </c>
      <c r="I444" s="515"/>
    </row>
    <row r="445" spans="1:9" x14ac:dyDescent="0.25">
      <c r="A445" s="393"/>
      <c r="B445" s="33"/>
      <c r="C445" s="40"/>
      <c r="D445" s="40"/>
      <c r="E445" s="41"/>
      <c r="F445" s="40"/>
      <c r="G445" s="401"/>
      <c r="H445" s="197"/>
      <c r="I445" s="515"/>
    </row>
    <row r="446" spans="1:9" x14ac:dyDescent="0.25">
      <c r="A446" s="393" t="s">
        <v>572</v>
      </c>
      <c r="B446" s="33" t="s">
        <v>573</v>
      </c>
      <c r="C446" s="40">
        <v>1.47</v>
      </c>
      <c r="D446" s="40" t="s">
        <v>302</v>
      </c>
      <c r="E446" s="41" t="s">
        <v>574</v>
      </c>
      <c r="F446" s="40">
        <v>2.11</v>
      </c>
      <c r="G446" s="399">
        <f>G443/4.8*4.6</f>
        <v>7662.6160861182898</v>
      </c>
      <c r="H446" s="197">
        <f t="shared" ref="H446:H451" si="18">G446*1.18</f>
        <v>9041.886981619582</v>
      </c>
      <c r="I446" s="515"/>
    </row>
    <row r="447" spans="1:9" x14ac:dyDescent="0.25">
      <c r="A447" s="393" t="s">
        <v>575</v>
      </c>
      <c r="B447" s="33" t="s">
        <v>573</v>
      </c>
      <c r="C447" s="40">
        <v>1.18</v>
      </c>
      <c r="D447" s="40" t="s">
        <v>302</v>
      </c>
      <c r="E447" s="41" t="s">
        <v>576</v>
      </c>
      <c r="F447" s="40">
        <v>1.59</v>
      </c>
      <c r="G447" s="400">
        <f>5372.53*1.08*1.07</f>
        <v>6208.4956680000005</v>
      </c>
      <c r="H447" s="197">
        <f t="shared" si="18"/>
        <v>7326.0248882400001</v>
      </c>
      <c r="I447" s="515"/>
    </row>
    <row r="448" spans="1:9" x14ac:dyDescent="0.25">
      <c r="A448" s="393" t="s">
        <v>577</v>
      </c>
      <c r="B448" s="33" t="s">
        <v>573</v>
      </c>
      <c r="C448" s="40">
        <v>1.37</v>
      </c>
      <c r="D448" s="40" t="s">
        <v>36</v>
      </c>
      <c r="E448" s="41" t="s">
        <v>578</v>
      </c>
      <c r="F448" s="40">
        <v>1.97</v>
      </c>
      <c r="G448" s="399">
        <v>7496.04</v>
      </c>
      <c r="H448" s="197">
        <f t="shared" si="18"/>
        <v>8845.3271999999997</v>
      </c>
      <c r="I448" s="515"/>
    </row>
    <row r="449" spans="1:9" x14ac:dyDescent="0.25">
      <c r="A449" s="393" t="s">
        <v>579</v>
      </c>
      <c r="B449" s="33" t="s">
        <v>573</v>
      </c>
      <c r="C449" s="40">
        <v>1.1000000000000001</v>
      </c>
      <c r="D449" s="40" t="s">
        <v>36</v>
      </c>
      <c r="E449" s="41" t="s">
        <v>580</v>
      </c>
      <c r="F449" s="40">
        <v>1.28</v>
      </c>
      <c r="G449" s="400">
        <f>5214.01*1.08*1.07</f>
        <v>6025.309956000001</v>
      </c>
      <c r="H449" s="197">
        <f t="shared" si="18"/>
        <v>7109.8657480800011</v>
      </c>
      <c r="I449" s="515"/>
    </row>
    <row r="450" spans="1:9" x14ac:dyDescent="0.25">
      <c r="A450" s="393" t="s">
        <v>581</v>
      </c>
      <c r="B450" s="33" t="s">
        <v>573</v>
      </c>
      <c r="C450" s="40">
        <v>1.31</v>
      </c>
      <c r="D450" s="40" t="s">
        <v>36</v>
      </c>
      <c r="E450" s="41" t="s">
        <v>582</v>
      </c>
      <c r="F450" s="40">
        <v>1.88</v>
      </c>
      <c r="G450" s="399">
        <v>7329.46</v>
      </c>
      <c r="H450" s="197">
        <f t="shared" si="18"/>
        <v>8648.7628000000004</v>
      </c>
      <c r="I450" s="515"/>
    </row>
    <row r="451" spans="1:9" x14ac:dyDescent="0.25">
      <c r="A451" s="393" t="s">
        <v>583</v>
      </c>
      <c r="B451" s="33" t="s">
        <v>573</v>
      </c>
      <c r="C451" s="40">
        <v>1.05</v>
      </c>
      <c r="D451" s="40" t="s">
        <v>36</v>
      </c>
      <c r="E451" s="41" t="s">
        <v>584</v>
      </c>
      <c r="F451" s="40">
        <v>1.22</v>
      </c>
      <c r="G451" s="400">
        <f>4969.33*1.08*1.07</f>
        <v>5742.5577480000002</v>
      </c>
      <c r="H451" s="197">
        <f t="shared" si="18"/>
        <v>6776.2181426400002</v>
      </c>
      <c r="I451" s="515"/>
    </row>
    <row r="452" spans="1:9" x14ac:dyDescent="0.25">
      <c r="A452" s="393"/>
      <c r="B452" s="33"/>
      <c r="C452" s="40"/>
      <c r="D452" s="40"/>
      <c r="E452" s="41"/>
      <c r="F452" s="40"/>
      <c r="G452" s="401"/>
      <c r="H452" s="197"/>
      <c r="I452" s="515"/>
    </row>
    <row r="453" spans="1:9" x14ac:dyDescent="0.25">
      <c r="A453" s="393" t="s">
        <v>585</v>
      </c>
      <c r="B453" s="33" t="s">
        <v>573</v>
      </c>
      <c r="C453" s="40">
        <v>1.24</v>
      </c>
      <c r="D453" s="40" t="s">
        <v>36</v>
      </c>
      <c r="E453" s="41" t="s">
        <v>586</v>
      </c>
      <c r="F453" s="40">
        <v>1.79</v>
      </c>
      <c r="G453" s="399">
        <f>G450/4.4*4.32</f>
        <v>7196.1970909090915</v>
      </c>
      <c r="H453" s="197">
        <f>G453*1.18</f>
        <v>8491.5125672727281</v>
      </c>
      <c r="I453" s="515"/>
    </row>
    <row r="454" spans="1:9" x14ac:dyDescent="0.25">
      <c r="A454" s="393" t="s">
        <v>587</v>
      </c>
      <c r="B454" s="33" t="s">
        <v>573</v>
      </c>
      <c r="C454" s="40">
        <v>0.99</v>
      </c>
      <c r="D454" s="40" t="s">
        <v>36</v>
      </c>
      <c r="E454" s="41" t="s">
        <v>588</v>
      </c>
      <c r="F454" s="40">
        <v>1.1599999999999999</v>
      </c>
      <c r="G454" s="400">
        <f>4876.01*1.08*1.07</f>
        <v>5634.7171560000015</v>
      </c>
      <c r="H454" s="197">
        <f>G454*1.18</f>
        <v>6648.9662440800012</v>
      </c>
      <c r="I454" s="515"/>
    </row>
    <row r="455" spans="1:9" x14ac:dyDescent="0.25">
      <c r="A455" s="393" t="s">
        <v>589</v>
      </c>
      <c r="B455" s="33" t="s">
        <v>573</v>
      </c>
      <c r="C455" s="40">
        <v>1.18</v>
      </c>
      <c r="D455" s="40" t="s">
        <v>36</v>
      </c>
      <c r="E455" s="41" t="s">
        <v>590</v>
      </c>
      <c r="F455" s="40">
        <v>1.7000000000000002</v>
      </c>
      <c r="G455" s="405">
        <v>6877.15</v>
      </c>
      <c r="H455" s="283">
        <f>G455*1.18</f>
        <v>8115.0369999999994</v>
      </c>
      <c r="I455" s="515"/>
    </row>
    <row r="456" spans="1:9" x14ac:dyDescent="0.25">
      <c r="A456" s="393" t="s">
        <v>591</v>
      </c>
      <c r="B456" s="33" t="s">
        <v>573</v>
      </c>
      <c r="C456" s="40">
        <v>0.94</v>
      </c>
      <c r="D456" s="40" t="s">
        <v>36</v>
      </c>
      <c r="E456" s="41" t="s">
        <v>592</v>
      </c>
      <c r="F456" s="40">
        <v>1.28</v>
      </c>
      <c r="G456" s="400">
        <f>4740.26*1.08*1.066</f>
        <v>5457.3665328000006</v>
      </c>
      <c r="H456" s="197">
        <f>G456*1.18</f>
        <v>6439.6925087040008</v>
      </c>
      <c r="I456" s="515"/>
    </row>
    <row r="457" spans="1:9" x14ac:dyDescent="0.25">
      <c r="A457" s="393"/>
      <c r="B457" s="33"/>
      <c r="C457" s="40"/>
      <c r="D457" s="40"/>
      <c r="E457" s="41"/>
      <c r="F457" s="40"/>
      <c r="G457" s="401"/>
      <c r="H457" s="197"/>
      <c r="I457" s="515"/>
    </row>
    <row r="458" spans="1:9" x14ac:dyDescent="0.25">
      <c r="A458" s="393" t="s">
        <v>593</v>
      </c>
      <c r="B458" s="33" t="s">
        <v>573</v>
      </c>
      <c r="C458" s="40">
        <v>1.1100000000000001</v>
      </c>
      <c r="D458" s="40" t="s">
        <v>36</v>
      </c>
      <c r="E458" s="41" t="s">
        <v>594</v>
      </c>
      <c r="F458" s="40">
        <v>1.61</v>
      </c>
      <c r="G458" s="399">
        <f>G455/3.88*3.76</f>
        <v>6664.4546391752574</v>
      </c>
      <c r="H458" s="197">
        <f>G458*1.18</f>
        <v>7864.0564742268034</v>
      </c>
      <c r="I458" s="515"/>
    </row>
    <row r="459" spans="1:9" x14ac:dyDescent="0.25">
      <c r="A459" s="393" t="s">
        <v>595</v>
      </c>
      <c r="B459" s="33" t="s">
        <v>573</v>
      </c>
      <c r="C459" s="40">
        <v>0.89</v>
      </c>
      <c r="D459" s="40" t="s">
        <v>36</v>
      </c>
      <c r="E459" s="41" t="s">
        <v>596</v>
      </c>
      <c r="F459" s="40">
        <v>1.21</v>
      </c>
      <c r="G459" s="400">
        <f>4643.69*1.08*1.07</f>
        <v>5366.2481640000005</v>
      </c>
      <c r="H459" s="197">
        <f>G459*1.18</f>
        <v>6332.1728335200005</v>
      </c>
      <c r="I459" s="515"/>
    </row>
    <row r="460" spans="1:9" x14ac:dyDescent="0.25">
      <c r="A460" s="393"/>
      <c r="B460" s="33"/>
      <c r="C460" s="40"/>
      <c r="D460" s="40"/>
      <c r="E460" s="41"/>
      <c r="F460" s="40"/>
      <c r="G460" s="401"/>
      <c r="H460" s="197"/>
      <c r="I460" s="515"/>
    </row>
    <row r="461" spans="1:9" x14ac:dyDescent="0.25">
      <c r="A461" s="393" t="s">
        <v>597</v>
      </c>
      <c r="B461" s="33" t="s">
        <v>573</v>
      </c>
      <c r="C461" s="40">
        <v>1</v>
      </c>
      <c r="D461" s="40" t="s">
        <v>36</v>
      </c>
      <c r="E461" s="41" t="s">
        <v>598</v>
      </c>
      <c r="F461" s="40">
        <v>1.7000000000000002</v>
      </c>
      <c r="G461" s="399">
        <v>5618</v>
      </c>
      <c r="H461" s="197">
        <f>G461*1.18</f>
        <v>6629.24</v>
      </c>
      <c r="I461" s="515"/>
    </row>
    <row r="462" spans="1:9" x14ac:dyDescent="0.25">
      <c r="A462" s="393" t="s">
        <v>599</v>
      </c>
      <c r="B462" s="33" t="s">
        <v>573</v>
      </c>
      <c r="C462" s="40">
        <v>0.78</v>
      </c>
      <c r="D462" s="40" t="s">
        <v>36</v>
      </c>
      <c r="E462" s="41" t="s">
        <v>600</v>
      </c>
      <c r="F462" s="40">
        <v>1.08</v>
      </c>
      <c r="G462" s="400">
        <f>3762.12*1.08*1.07</f>
        <v>4347.5058720000006</v>
      </c>
      <c r="H462" s="197">
        <f>G462*1.18</f>
        <v>5130.0569289600007</v>
      </c>
      <c r="I462" s="515"/>
    </row>
    <row r="463" spans="1:9" x14ac:dyDescent="0.25">
      <c r="A463" s="393"/>
      <c r="B463" s="33"/>
      <c r="C463" s="40"/>
      <c r="D463" s="40"/>
      <c r="E463" s="41"/>
      <c r="F463" s="40"/>
      <c r="G463" s="400"/>
      <c r="H463" s="197"/>
      <c r="I463" s="515"/>
    </row>
    <row r="464" spans="1:9" ht="15.75" thickBot="1" x14ac:dyDescent="0.3">
      <c r="A464" s="393"/>
      <c r="B464" s="33"/>
      <c r="C464" s="40"/>
      <c r="D464" s="40"/>
      <c r="E464" s="41"/>
      <c r="F464" s="40"/>
      <c r="G464" s="400"/>
      <c r="H464" s="197"/>
      <c r="I464" s="515"/>
    </row>
    <row r="465" spans="1:9" ht="15.75" thickBot="1" x14ac:dyDescent="0.3">
      <c r="A465" s="572">
        <v>1</v>
      </c>
      <c r="B465" s="573">
        <v>2</v>
      </c>
      <c r="C465" s="573">
        <v>3</v>
      </c>
      <c r="D465" s="573">
        <v>4</v>
      </c>
      <c r="E465" s="574">
        <v>5</v>
      </c>
      <c r="F465" s="573">
        <v>6</v>
      </c>
      <c r="G465" s="574">
        <v>7</v>
      </c>
      <c r="H465" s="575">
        <v>8</v>
      </c>
      <c r="I465" s="515"/>
    </row>
    <row r="466" spans="1:9" x14ac:dyDescent="0.25">
      <c r="A466" s="393" t="s">
        <v>601</v>
      </c>
      <c r="B466" s="33" t="s">
        <v>573</v>
      </c>
      <c r="C466" s="40">
        <v>0.92</v>
      </c>
      <c r="D466" s="40" t="s">
        <v>36</v>
      </c>
      <c r="E466" s="41" t="s">
        <v>602</v>
      </c>
      <c r="F466" s="40">
        <v>1.59</v>
      </c>
      <c r="G466" s="399">
        <f>5618/3.76*3.5</f>
        <v>5229.5212765957449</v>
      </c>
      <c r="H466" s="197">
        <f>G466*1.18</f>
        <v>6170.8351063829787</v>
      </c>
      <c r="I466" s="515"/>
    </row>
    <row r="467" spans="1:9" x14ac:dyDescent="0.25">
      <c r="A467" s="393" t="s">
        <v>603</v>
      </c>
      <c r="B467" s="33" t="s">
        <v>573</v>
      </c>
      <c r="C467" s="40">
        <v>0.73</v>
      </c>
      <c r="D467" s="40" t="s">
        <v>36</v>
      </c>
      <c r="E467" s="41" t="s">
        <v>604</v>
      </c>
      <c r="F467" s="40">
        <v>1.01</v>
      </c>
      <c r="G467" s="400">
        <f>3410.87*1.08*1.07</f>
        <v>3941.6013720000005</v>
      </c>
      <c r="H467" s="197">
        <f>G467*1.18</f>
        <v>4651.0896189600007</v>
      </c>
    </row>
    <row r="468" spans="1:9" x14ac:dyDescent="0.25">
      <c r="A468" s="393"/>
      <c r="B468" s="33"/>
      <c r="C468" s="40"/>
      <c r="D468" s="40"/>
      <c r="E468" s="41"/>
      <c r="F468" s="40"/>
      <c r="G468" s="401"/>
      <c r="H468" s="197"/>
      <c r="I468" s="410"/>
    </row>
    <row r="469" spans="1:9" x14ac:dyDescent="0.25">
      <c r="A469" s="393" t="s">
        <v>605</v>
      </c>
      <c r="B469" s="33" t="s">
        <v>573</v>
      </c>
      <c r="C469" s="40">
        <v>0.88</v>
      </c>
      <c r="D469" s="40" t="s">
        <v>36</v>
      </c>
      <c r="E469" s="41" t="s">
        <v>606</v>
      </c>
      <c r="F469" s="40">
        <v>1.29</v>
      </c>
      <c r="G469" s="399">
        <f>G466/3.5*3.29</f>
        <v>4915.7500000000009</v>
      </c>
      <c r="H469" s="197">
        <f>G469*1.18</f>
        <v>5800.5850000000009</v>
      </c>
      <c r="I469" s="410"/>
    </row>
    <row r="470" spans="1:9" x14ac:dyDescent="0.25">
      <c r="A470" s="393" t="s">
        <v>607</v>
      </c>
      <c r="B470" s="33" t="s">
        <v>573</v>
      </c>
      <c r="C470" s="40">
        <v>0.7</v>
      </c>
      <c r="D470" s="40" t="s">
        <v>36</v>
      </c>
      <c r="E470" s="41" t="s">
        <v>608</v>
      </c>
      <c r="F470" s="40">
        <v>0.97</v>
      </c>
      <c r="G470" s="400">
        <f>3234.08*1.1*1.07</f>
        <v>3806.5121600000007</v>
      </c>
      <c r="H470" s="197">
        <f>G470*1.18</f>
        <v>4491.6843488000004</v>
      </c>
      <c r="I470" s="410"/>
    </row>
    <row r="471" spans="1:9" x14ac:dyDescent="0.25">
      <c r="A471" s="393"/>
      <c r="B471" s="33"/>
      <c r="C471" s="40"/>
      <c r="D471" s="40"/>
      <c r="E471" s="41"/>
      <c r="F471" s="40"/>
      <c r="G471" s="401"/>
      <c r="H471" s="402"/>
      <c r="I471" s="410"/>
    </row>
    <row r="472" spans="1:9" x14ac:dyDescent="0.25">
      <c r="A472" s="393" t="s">
        <v>609</v>
      </c>
      <c r="B472" s="33" t="s">
        <v>573</v>
      </c>
      <c r="C472" s="40">
        <v>0.78</v>
      </c>
      <c r="D472" s="40" t="s">
        <v>36</v>
      </c>
      <c r="E472" s="41" t="s">
        <v>610</v>
      </c>
      <c r="F472" s="40">
        <v>1.1499999999999999</v>
      </c>
      <c r="G472" s="399">
        <f>G469/3.29*2.82</f>
        <v>4213.5000000000009</v>
      </c>
      <c r="H472" s="197">
        <f>G472*1.18</f>
        <v>4971.9300000000012</v>
      </c>
      <c r="I472" s="410"/>
    </row>
    <row r="473" spans="1:9" ht="15.75" thickBot="1" x14ac:dyDescent="0.3">
      <c r="A473" s="394" t="s">
        <v>611</v>
      </c>
      <c r="B473" s="92" t="s">
        <v>573</v>
      </c>
      <c r="C473" s="93">
        <v>0.62</v>
      </c>
      <c r="D473" s="93" t="s">
        <v>36</v>
      </c>
      <c r="E473" s="94" t="s">
        <v>612</v>
      </c>
      <c r="F473" s="93">
        <v>0.86</v>
      </c>
      <c r="G473" s="403">
        <f>2937.34*1.12*1.09</f>
        <v>3585.9046720000006</v>
      </c>
      <c r="H473" s="404">
        <f>G473*1.18</f>
        <v>4231.3675129600006</v>
      </c>
      <c r="I473" s="410"/>
    </row>
    <row r="474" spans="1:9" ht="15.75" thickBot="1" x14ac:dyDescent="0.3">
      <c r="B474" s="439" t="s">
        <v>821</v>
      </c>
      <c r="I474" s="410"/>
    </row>
    <row r="475" spans="1:9" x14ac:dyDescent="0.25">
      <c r="A475" s="392" t="s">
        <v>773</v>
      </c>
      <c r="B475" s="86"/>
      <c r="C475" s="170">
        <v>0.40600000000000003</v>
      </c>
      <c r="D475" s="170" t="s">
        <v>774</v>
      </c>
      <c r="E475" s="169" t="s">
        <v>775</v>
      </c>
      <c r="F475" s="170">
        <v>0.97</v>
      </c>
      <c r="G475" s="559">
        <f>1367.64*1.046</f>
        <v>1430.5514400000002</v>
      </c>
      <c r="H475" s="195">
        <f t="shared" ref="H475:H490" si="19">G475*1.18</f>
        <v>1688.0506992000001</v>
      </c>
      <c r="I475" s="410"/>
    </row>
    <row r="476" spans="1:9" x14ac:dyDescent="0.25">
      <c r="A476" s="393" t="s">
        <v>776</v>
      </c>
      <c r="B476" s="517"/>
      <c r="C476" s="40">
        <v>0.20100000000000001</v>
      </c>
      <c r="D476" s="40" t="s">
        <v>774</v>
      </c>
      <c r="E476" s="41" t="s">
        <v>875</v>
      </c>
      <c r="F476" s="40">
        <v>0.5</v>
      </c>
      <c r="G476" s="559">
        <f>711.16*1.046</f>
        <v>743.87336000000005</v>
      </c>
      <c r="H476" s="197">
        <f t="shared" si="19"/>
        <v>877.77056479999999</v>
      </c>
      <c r="I476" s="410"/>
    </row>
    <row r="477" spans="1:9" x14ac:dyDescent="0.25">
      <c r="A477" s="393" t="s">
        <v>777</v>
      </c>
      <c r="B477" s="33" t="s">
        <v>778</v>
      </c>
      <c r="C477" s="40">
        <v>0.16</v>
      </c>
      <c r="D477" s="40" t="s">
        <v>774</v>
      </c>
      <c r="E477" s="41" t="s">
        <v>779</v>
      </c>
      <c r="F477" s="40">
        <v>0.35</v>
      </c>
      <c r="G477" s="559">
        <f>535.98*1.046</f>
        <v>560.63508000000002</v>
      </c>
      <c r="H477" s="197">
        <f t="shared" si="19"/>
        <v>661.54939439999998</v>
      </c>
      <c r="I477" s="410"/>
    </row>
    <row r="478" spans="1:9" x14ac:dyDescent="0.25">
      <c r="A478" s="393" t="s">
        <v>780</v>
      </c>
      <c r="B478" s="33"/>
      <c r="C478" s="40">
        <v>0.1</v>
      </c>
      <c r="D478" s="40" t="s">
        <v>774</v>
      </c>
      <c r="E478" s="41" t="s">
        <v>781</v>
      </c>
      <c r="F478" s="40">
        <v>0.25</v>
      </c>
      <c r="G478" s="559">
        <f>367.99*1.046</f>
        <v>384.91754000000003</v>
      </c>
      <c r="H478" s="197">
        <f t="shared" si="19"/>
        <v>454.20269719999999</v>
      </c>
      <c r="I478" s="410"/>
    </row>
    <row r="479" spans="1:9" x14ac:dyDescent="0.25">
      <c r="A479" s="393" t="s">
        <v>782</v>
      </c>
      <c r="B479" s="33"/>
      <c r="C479" s="40">
        <v>0.54300000000000004</v>
      </c>
      <c r="D479" s="40" t="s">
        <v>774</v>
      </c>
      <c r="E479" s="41" t="s">
        <v>783</v>
      </c>
      <c r="F479" s="40">
        <v>1.3</v>
      </c>
      <c r="G479" s="559">
        <f>1789.04*1.046</f>
        <v>1871.33584</v>
      </c>
      <c r="H479" s="197">
        <f t="shared" si="19"/>
        <v>2208.1762911999999</v>
      </c>
      <c r="I479" s="410"/>
    </row>
    <row r="480" spans="1:9" x14ac:dyDescent="0.25">
      <c r="A480" s="393" t="s">
        <v>784</v>
      </c>
      <c r="B480" s="33"/>
      <c r="C480" s="40">
        <v>0.27700000000000002</v>
      </c>
      <c r="D480" s="40" t="s">
        <v>774</v>
      </c>
      <c r="E480" s="41" t="s">
        <v>876</v>
      </c>
      <c r="F480" s="40">
        <v>0.67</v>
      </c>
      <c r="G480" s="559">
        <f>966.08*1.046</f>
        <v>1010.5196800000001</v>
      </c>
      <c r="H480" s="197">
        <f t="shared" si="19"/>
        <v>1192.4132224</v>
      </c>
      <c r="I480" s="410"/>
    </row>
    <row r="481" spans="1:9" x14ac:dyDescent="0.25">
      <c r="A481" s="393" t="s">
        <v>785</v>
      </c>
      <c r="B481" s="33" t="s">
        <v>778</v>
      </c>
      <c r="C481" s="40">
        <v>0.21</v>
      </c>
      <c r="D481" s="40" t="s">
        <v>774</v>
      </c>
      <c r="E481" s="41" t="s">
        <v>786</v>
      </c>
      <c r="F481" s="40">
        <v>0.47</v>
      </c>
      <c r="G481" s="559">
        <f>775.28*1.046</f>
        <v>810.94288000000006</v>
      </c>
      <c r="H481" s="197">
        <f t="shared" si="19"/>
        <v>956.91259839999998</v>
      </c>
      <c r="I481" s="410"/>
    </row>
    <row r="482" spans="1:9" x14ac:dyDescent="0.25">
      <c r="A482" s="393" t="s">
        <v>787</v>
      </c>
      <c r="B482" s="33"/>
      <c r="C482" s="40">
        <v>0.14000000000000001</v>
      </c>
      <c r="D482" s="40" t="s">
        <v>774</v>
      </c>
      <c r="E482" s="41" t="s">
        <v>788</v>
      </c>
      <c r="F482" s="40">
        <v>0.35</v>
      </c>
      <c r="G482" s="559">
        <f>473.78*1.046</f>
        <v>495.57387999999997</v>
      </c>
      <c r="H482" s="197">
        <f t="shared" si="19"/>
        <v>584.77717839999991</v>
      </c>
      <c r="I482" s="410"/>
    </row>
    <row r="483" spans="1:9" x14ac:dyDescent="0.25">
      <c r="A483" s="393" t="s">
        <v>789</v>
      </c>
      <c r="B483" s="33"/>
      <c r="C483" s="40">
        <v>0.68</v>
      </c>
      <c r="D483" s="40" t="s">
        <v>774</v>
      </c>
      <c r="E483" s="41" t="s">
        <v>790</v>
      </c>
      <c r="F483" s="40">
        <v>1.63</v>
      </c>
      <c r="G483" s="559">
        <f>2064.24*1.046</f>
        <v>2159.1950400000001</v>
      </c>
      <c r="H483" s="197">
        <f t="shared" si="19"/>
        <v>2547.8501471999998</v>
      </c>
      <c r="I483" s="410"/>
    </row>
    <row r="484" spans="1:9" x14ac:dyDescent="0.25">
      <c r="A484" s="393" t="s">
        <v>791</v>
      </c>
      <c r="B484" s="33"/>
      <c r="C484" s="40">
        <v>0.34</v>
      </c>
      <c r="D484" s="40" t="s">
        <v>774</v>
      </c>
      <c r="E484" s="41" t="s">
        <v>792</v>
      </c>
      <c r="F484" s="40">
        <v>0.79</v>
      </c>
      <c r="G484" s="559">
        <f>1186.94*1.046</f>
        <v>1241.5392400000001</v>
      </c>
      <c r="H484" s="197">
        <f t="shared" si="19"/>
        <v>1465.0163032</v>
      </c>
      <c r="I484" s="444"/>
    </row>
    <row r="485" spans="1:9" x14ac:dyDescent="0.25">
      <c r="A485" s="393" t="s">
        <v>793</v>
      </c>
      <c r="B485" s="33" t="s">
        <v>778</v>
      </c>
      <c r="C485" s="40">
        <v>0.26</v>
      </c>
      <c r="D485" s="40" t="s">
        <v>774</v>
      </c>
      <c r="E485" s="41" t="s">
        <v>794</v>
      </c>
      <c r="F485" s="40">
        <v>0.49</v>
      </c>
      <c r="G485" s="559">
        <f>952.52*1.046</f>
        <v>996.33591999999999</v>
      </c>
      <c r="H485" s="197">
        <f t="shared" si="19"/>
        <v>1175.6763856</v>
      </c>
      <c r="I485" s="410"/>
    </row>
    <row r="486" spans="1:9" x14ac:dyDescent="0.25">
      <c r="A486" s="393" t="s">
        <v>795</v>
      </c>
      <c r="B486" s="33"/>
      <c r="C486" s="40">
        <v>0.17</v>
      </c>
      <c r="D486" s="40" t="s">
        <v>774</v>
      </c>
      <c r="E486" s="41" t="s">
        <v>796</v>
      </c>
      <c r="F486" s="40">
        <v>0.42499999999999999</v>
      </c>
      <c r="G486" s="559">
        <f>582.09*1.046</f>
        <v>608.86614000000009</v>
      </c>
      <c r="H486" s="197">
        <f t="shared" si="19"/>
        <v>718.46204520000003</v>
      </c>
      <c r="I486" s="410"/>
    </row>
    <row r="487" spans="1:9" x14ac:dyDescent="0.25">
      <c r="A487" s="393" t="s">
        <v>797</v>
      </c>
      <c r="B487" s="33"/>
      <c r="C487" s="40">
        <v>0.81500000000000006</v>
      </c>
      <c r="D487" s="40" t="s">
        <v>774</v>
      </c>
      <c r="E487" s="41" t="s">
        <v>798</v>
      </c>
      <c r="F487" s="40">
        <v>1.96</v>
      </c>
      <c r="G487" s="559">
        <f>2635.47*1.046</f>
        <v>2756.7016199999998</v>
      </c>
      <c r="H487" s="197">
        <f t="shared" si="19"/>
        <v>3252.9079115999998</v>
      </c>
      <c r="I487" s="410"/>
    </row>
    <row r="488" spans="1:9" x14ac:dyDescent="0.25">
      <c r="A488" s="393" t="s">
        <v>799</v>
      </c>
      <c r="B488" s="33"/>
      <c r="C488" s="40">
        <v>0.41300000000000003</v>
      </c>
      <c r="D488" s="40" t="s">
        <v>774</v>
      </c>
      <c r="E488" s="41" t="s">
        <v>800</v>
      </c>
      <c r="F488" s="40">
        <v>0.96</v>
      </c>
      <c r="G488" s="559">
        <f>1423.16*1.046</f>
        <v>1488.6253600000002</v>
      </c>
      <c r="H488" s="197">
        <f t="shared" si="19"/>
        <v>1756.5779248000001</v>
      </c>
      <c r="I488" s="410"/>
    </row>
    <row r="489" spans="1:9" x14ac:dyDescent="0.25">
      <c r="A489" s="393" t="s">
        <v>801</v>
      </c>
      <c r="B489" s="33" t="s">
        <v>778</v>
      </c>
      <c r="C489" s="40">
        <v>0.31</v>
      </c>
      <c r="D489" s="40" t="s">
        <v>774</v>
      </c>
      <c r="E489" s="41" t="s">
        <v>802</v>
      </c>
      <c r="F489" s="40">
        <v>0.7</v>
      </c>
      <c r="G489" s="559">
        <f>1120.74*1.046</f>
        <v>1172.29404</v>
      </c>
      <c r="H489" s="197">
        <f t="shared" si="19"/>
        <v>1383.3069671999999</v>
      </c>
      <c r="I489" s="410"/>
    </row>
    <row r="490" spans="1:9" ht="15.75" thickBot="1" x14ac:dyDescent="0.3">
      <c r="A490" s="394" t="s">
        <v>803</v>
      </c>
      <c r="B490" s="92"/>
      <c r="C490" s="93">
        <v>0.21</v>
      </c>
      <c r="D490" s="93" t="s">
        <v>774</v>
      </c>
      <c r="E490" s="94" t="s">
        <v>483</v>
      </c>
      <c r="F490" s="93">
        <v>0.52500000000000002</v>
      </c>
      <c r="G490" s="559">
        <f>684.89*1.046</f>
        <v>716.39494000000002</v>
      </c>
      <c r="H490" s="404">
        <f t="shared" si="19"/>
        <v>845.34602919999998</v>
      </c>
      <c r="I490" s="410"/>
    </row>
    <row r="491" spans="1:9" ht="15.75" thickBot="1" x14ac:dyDescent="0.3">
      <c r="A491" s="520"/>
      <c r="B491" s="248" t="s">
        <v>822</v>
      </c>
      <c r="C491" s="521"/>
      <c r="D491" s="521"/>
      <c r="E491" s="522"/>
      <c r="F491" s="522"/>
      <c r="G491" s="560"/>
      <c r="H491" s="561"/>
      <c r="I491" s="410"/>
    </row>
    <row r="492" spans="1:9" x14ac:dyDescent="0.25">
      <c r="A492" s="466" t="s">
        <v>804</v>
      </c>
      <c r="B492" s="435" t="s">
        <v>805</v>
      </c>
      <c r="C492" s="326">
        <v>0.46</v>
      </c>
      <c r="D492" s="326" t="s">
        <v>36</v>
      </c>
      <c r="E492" s="327" t="s">
        <v>806</v>
      </c>
      <c r="F492" s="326">
        <v>1.1499999999999999</v>
      </c>
      <c r="G492" s="518">
        <f>605.7*1.15*1.3*1.16*1.12*1.13*1.12*1.1*1.08*1.05*1.1*1.068*1.05*1.08*1.04*1.06*1.1*1.06*1.04*0.95*0.9*1.12*1.04*1.06*1.06*1.03*1.03*1.06</f>
        <v>4162.3116319228538</v>
      </c>
      <c r="H492" s="470">
        <f t="shared" ref="H492:H500" si="20">G492*1.18</f>
        <v>4911.5277256689669</v>
      </c>
      <c r="I492" s="410"/>
    </row>
    <row r="493" spans="1:9" x14ac:dyDescent="0.25">
      <c r="A493" s="467" t="s">
        <v>807</v>
      </c>
      <c r="B493" s="431" t="s">
        <v>805</v>
      </c>
      <c r="C493" s="432">
        <v>0.22</v>
      </c>
      <c r="D493" s="432" t="s">
        <v>36</v>
      </c>
      <c r="E493" s="468" t="s">
        <v>808</v>
      </c>
      <c r="F493" s="432">
        <v>0.55000000000000004</v>
      </c>
      <c r="G493" s="480">
        <f>302.9*1.15*1.4*1.16*1.12*1.13*1.12*1.1*1.08*1.05*1.15*1.068*1.05*1.08*1.04*1.06*1.1*1.06*1.04*0.95*0.9*1.05*1.04*1.06*1.06*1.03*1.03*1.06</f>
        <v>2197.0371843667249</v>
      </c>
      <c r="H493" s="471">
        <f t="shared" si="20"/>
        <v>2592.503877552735</v>
      </c>
      <c r="I493" s="410"/>
    </row>
    <row r="494" spans="1:9" x14ac:dyDescent="0.25">
      <c r="A494" s="467" t="s">
        <v>809</v>
      </c>
      <c r="B494" s="431" t="s">
        <v>805</v>
      </c>
      <c r="C494" s="432">
        <v>0.55000000000000004</v>
      </c>
      <c r="D494" s="432" t="s">
        <v>36</v>
      </c>
      <c r="E494" s="468" t="s">
        <v>810</v>
      </c>
      <c r="F494" s="432">
        <v>1.38</v>
      </c>
      <c r="G494" s="480">
        <f>1012.58*1.2*1.16*1.12*1.13*1.12*1.1*1.08*1.05*1.1*1.068*1.05*1.08*1.04*1.06*1.1*1.06*1.04*0.95*0.9*1.12*1.04*1.06*1.06*1.03*1.03*1.06</f>
        <v>5585.2988744087606</v>
      </c>
      <c r="H494" s="471">
        <f t="shared" si="20"/>
        <v>6590.652671802337</v>
      </c>
    </row>
    <row r="495" spans="1:9" x14ac:dyDescent="0.25">
      <c r="A495" s="467" t="s">
        <v>811</v>
      </c>
      <c r="B495" s="431" t="s">
        <v>805</v>
      </c>
      <c r="C495" s="432">
        <v>0.27</v>
      </c>
      <c r="D495" s="432" t="s">
        <v>36</v>
      </c>
      <c r="E495" s="468" t="s">
        <v>812</v>
      </c>
      <c r="F495" s="432">
        <v>0.65</v>
      </c>
      <c r="G495" s="480">
        <f>496.11*1.3*1.16*1.12*1.13*1.12*1.1*1.08*1.05*1.1*1.068*1.05*1.08*1.04*1.06*1.1*1.06*1.04*0.95*0.9*1.07*1.04*1.06*1.06*1.03*1.03*1.06</f>
        <v>2832.1934548461136</v>
      </c>
      <c r="H495" s="471">
        <f t="shared" si="20"/>
        <v>3341.988276718414</v>
      </c>
      <c r="I495" s="523"/>
    </row>
    <row r="496" spans="1:9" x14ac:dyDescent="0.25">
      <c r="A496" s="467" t="s">
        <v>813</v>
      </c>
      <c r="B496" s="431" t="s">
        <v>805</v>
      </c>
      <c r="C496" s="432">
        <v>0.17</v>
      </c>
      <c r="D496" s="432" t="s">
        <v>36</v>
      </c>
      <c r="E496" s="468" t="s">
        <v>814</v>
      </c>
      <c r="F496" s="432">
        <v>0.42</v>
      </c>
      <c r="G496" s="480">
        <f>698/1.2*0.8*1.1*1.16*1.12*1.13*1.12*1.1*1.08*1.05*1.1*1.068*1.05*1.08*1.04*1.06*1.1*1.06*1.04*0.95*0.8*1.02*1.04*1.06*1.06*1.03*1.03*1.06</f>
        <v>1904.6812288737774</v>
      </c>
      <c r="H496" s="471">
        <f t="shared" si="20"/>
        <v>2247.523850071057</v>
      </c>
      <c r="I496" s="523"/>
    </row>
    <row r="497" spans="1:8" x14ac:dyDescent="0.25">
      <c r="A497" s="467" t="s">
        <v>815</v>
      </c>
      <c r="B497" s="431" t="s">
        <v>805</v>
      </c>
      <c r="C497" s="432">
        <v>0.86</v>
      </c>
      <c r="D497" s="432" t="s">
        <v>36</v>
      </c>
      <c r="E497" s="468" t="s">
        <v>816</v>
      </c>
      <c r="F497" s="432">
        <v>2.15</v>
      </c>
      <c r="G497" s="480">
        <f>1256.06*1.15*1.3*1.16*1.12*1.13*1.12*1.1*1.08*1.05*1.15*1.068*1.05*1.08*1.04*1.06*1.1*1.06*1.04*0.95*0.85*1.12*1.04*1.06*1.04*1.03*1.03*1.06</f>
        <v>8361.7359666365337</v>
      </c>
      <c r="H497" s="471">
        <f t="shared" si="20"/>
        <v>9866.848440631109</v>
      </c>
    </row>
    <row r="498" spans="1:8" x14ac:dyDescent="0.25">
      <c r="A498" s="549" t="s">
        <v>838</v>
      </c>
      <c r="B498" s="431" t="s">
        <v>805</v>
      </c>
      <c r="C498" s="432">
        <v>0.41</v>
      </c>
      <c r="D498" s="432" t="s">
        <v>36</v>
      </c>
      <c r="E498" s="468" t="s">
        <v>817</v>
      </c>
      <c r="F498" s="432">
        <v>1.03</v>
      </c>
      <c r="G498" s="480">
        <f>1730.21*1.1*1.08*1.05*1.15*1.068*1.05*1.08*1.04*1.06*1.1*1.06*1.04*0.95*0.85*1.03*1.04*1.06*1.04*1.03*1.03*1.06</f>
        <v>4309.1381094278204</v>
      </c>
      <c r="H498" s="471">
        <f t="shared" si="20"/>
        <v>5084.782969124828</v>
      </c>
    </row>
    <row r="499" spans="1:8" x14ac:dyDescent="0.25">
      <c r="A499" s="467" t="s">
        <v>818</v>
      </c>
      <c r="B499" s="431" t="s">
        <v>805</v>
      </c>
      <c r="C499" s="432">
        <v>0.26</v>
      </c>
      <c r="D499" s="432" t="s">
        <v>36</v>
      </c>
      <c r="E499" s="468" t="s">
        <v>819</v>
      </c>
      <c r="F499" s="432">
        <v>0.65</v>
      </c>
      <c r="G499" s="480">
        <f>1280.16*1.1*1.08*1.05*1.1*1.068*1.05*1.08*1.04*1.06*1.1*1.06*1.04*0.95*0.85*1.02*1.04*1.06*1.06*1.03*1.03*1.06</f>
        <v>3078.1243944624607</v>
      </c>
      <c r="H499" s="471">
        <f t="shared" si="20"/>
        <v>3632.1867854657035</v>
      </c>
    </row>
    <row r="500" spans="1:8" ht="15.75" thickBot="1" x14ac:dyDescent="0.3">
      <c r="A500" s="469" t="s">
        <v>820</v>
      </c>
      <c r="B500" s="519" t="s">
        <v>805</v>
      </c>
      <c r="C500" s="331">
        <v>0.26</v>
      </c>
      <c r="D500" s="331" t="s">
        <v>36</v>
      </c>
      <c r="E500" s="332" t="s">
        <v>819</v>
      </c>
      <c r="F500" s="331">
        <v>0.65</v>
      </c>
      <c r="G500" s="481">
        <f>694.04*1.16*1.15*1.13*1.12*1.1*1.08*1.05*1.1*1.068*1.05*1.08*1.04*1.06*1.1*1.06*1.04*0.95*0.85*1.02*1.04*1.06*1.06*1.03*1.03*1.06</f>
        <v>2817.4661729599343</v>
      </c>
      <c r="H500" s="473">
        <f t="shared" si="20"/>
        <v>3324.6100840927224</v>
      </c>
    </row>
    <row r="501" spans="1:8" ht="15.75" thickBot="1" x14ac:dyDescent="0.3">
      <c r="A501" s="365" t="s">
        <v>829</v>
      </c>
      <c r="B501" s="319"/>
      <c r="C501" s="267"/>
      <c r="D501" s="267"/>
      <c r="E501" s="267"/>
      <c r="F501" s="267"/>
      <c r="G501" s="268"/>
      <c r="H501" s="164"/>
    </row>
    <row r="502" spans="1:8" x14ac:dyDescent="0.25">
      <c r="A502" s="434" t="s">
        <v>823</v>
      </c>
      <c r="B502" s="524" t="s">
        <v>824</v>
      </c>
      <c r="C502" s="327">
        <v>2.12</v>
      </c>
      <c r="D502" s="327" t="s">
        <v>36</v>
      </c>
      <c r="E502" s="327" t="s">
        <v>825</v>
      </c>
      <c r="F502" s="547">
        <v>5.3</v>
      </c>
      <c r="G502" s="624" t="s">
        <v>828</v>
      </c>
      <c r="H502" s="625"/>
    </row>
    <row r="503" spans="1:8" ht="15.75" thickBot="1" x14ac:dyDescent="0.3">
      <c r="A503" s="437" t="s">
        <v>826</v>
      </c>
      <c r="B503" s="438" t="s">
        <v>824</v>
      </c>
      <c r="C503" s="332">
        <v>2.2000000000000002</v>
      </c>
      <c r="D503" s="438" t="s">
        <v>127</v>
      </c>
      <c r="E503" s="332" t="s">
        <v>827</v>
      </c>
      <c r="F503" s="548">
        <v>5.3</v>
      </c>
      <c r="G503" s="626" t="s">
        <v>828</v>
      </c>
      <c r="H503" s="627"/>
    </row>
  </sheetData>
  <mergeCells count="24">
    <mergeCell ref="A2:H2"/>
    <mergeCell ref="A1:H1"/>
    <mergeCell ref="J370:K370"/>
    <mergeCell ref="J371:K371"/>
    <mergeCell ref="J368:K368"/>
    <mergeCell ref="J369:K369"/>
    <mergeCell ref="A7:H7"/>
    <mergeCell ref="A8:H8"/>
    <mergeCell ref="A21:H21"/>
    <mergeCell ref="B22:F22"/>
    <mergeCell ref="A87:H87"/>
    <mergeCell ref="A94:H94"/>
    <mergeCell ref="A96:H96"/>
    <mergeCell ref="G502:H502"/>
    <mergeCell ref="G503:H503"/>
    <mergeCell ref="G319:H319"/>
    <mergeCell ref="A318:G318"/>
    <mergeCell ref="A150:H150"/>
    <mergeCell ref="C151:E151"/>
    <mergeCell ref="C160:E160"/>
    <mergeCell ref="A204:H204"/>
    <mergeCell ref="A209:H209"/>
    <mergeCell ref="A217:H217"/>
    <mergeCell ref="A174:H175"/>
  </mergeCells>
  <hyperlinks>
    <hyperlink ref="A14" r:id="rId1" xr:uid="{00000000-0004-0000-0000-000000000000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2018-04-03T02:20:16Z</dcterms:modified>
</cp:coreProperties>
</file>