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35" activeTab="0"/>
  </bookViews>
  <sheets>
    <sheet name="Наличие" sheetId="1" r:id="rId1"/>
    <sheet name="б" sheetId="2" r:id="rId2"/>
    <sheet name="Лист1" sheetId="3" r:id="rId3"/>
    <sheet name="Лист3" sheetId="4" r:id="rId4"/>
  </sheets>
  <definedNames>
    <definedName name="_xlnm.Print_Area" localSheetId="1">'б'!$A$1:$K$44</definedName>
    <definedName name="_xlnm.Print_Area" localSheetId="0">'Наличие'!$A$1:$X$111</definedName>
  </definedNames>
  <calcPr fullCalcOnLoad="1"/>
</workbook>
</file>

<file path=xl/sharedStrings.xml><?xml version="1.0" encoding="utf-8"?>
<sst xmlns="http://schemas.openxmlformats.org/spreadsheetml/2006/main" count="887" uniqueCount="163">
  <si>
    <t>10</t>
  </si>
  <si>
    <t>45</t>
  </si>
  <si>
    <t>40Х</t>
  </si>
  <si>
    <t>35</t>
  </si>
  <si>
    <t>20</t>
  </si>
  <si>
    <t>40</t>
  </si>
  <si>
    <t>Кол-во (тн)</t>
  </si>
  <si>
    <t xml:space="preserve">Марка стали </t>
  </si>
  <si>
    <t xml:space="preserve">ВСЕГО </t>
  </si>
  <si>
    <t>Ø</t>
  </si>
  <si>
    <t>$</t>
  </si>
  <si>
    <t>Диам. мм</t>
  </si>
  <si>
    <t>20Х</t>
  </si>
  <si>
    <t>3</t>
  </si>
  <si>
    <t>50ХФА</t>
  </si>
  <si>
    <t>А12</t>
  </si>
  <si>
    <t>БЕСПЛАТНАЯ ПОГРУЗКА ОСУЩЕСТВЛЯЕТЬСЯ ТОЛЬКО В ОТКРЫТЫЙ КУЗОВ !!!!!</t>
  </si>
  <si>
    <t>АС14</t>
  </si>
  <si>
    <r>
      <t xml:space="preserve">ООО  </t>
    </r>
    <r>
      <rPr>
        <b/>
        <i/>
        <sz val="9"/>
        <rFont val="Rockwell"/>
        <family val="1"/>
      </rPr>
      <t>«АПРЕЛЬ-МЕТ» время работы 8.30-16.30 обед 12.00-13.00 тел. 37-55-49</t>
    </r>
  </si>
  <si>
    <t>более подробная информация и схема проезда до метталобазы на сайте http//april-met.ru и http//челныметалл.рф</t>
  </si>
  <si>
    <t>3х3</t>
  </si>
  <si>
    <t>1,4х1,4</t>
  </si>
  <si>
    <t>08КП</t>
  </si>
  <si>
    <t>1х1000х2000</t>
  </si>
  <si>
    <t>Трубы толстостенные холоднотянутые</t>
  </si>
  <si>
    <t xml:space="preserve">Полоса холоднотянутая </t>
  </si>
  <si>
    <t>Лист холоднотянутый</t>
  </si>
  <si>
    <t>Лист горячекатанный</t>
  </si>
  <si>
    <t>Проволка холоднотянутая</t>
  </si>
  <si>
    <t>Цена за 1тонну</t>
  </si>
  <si>
    <t>Круг сорт. холоднотянутый</t>
  </si>
  <si>
    <t>Круг сорт. горячекатанный</t>
  </si>
  <si>
    <t>Шестигранник сорт. холоднотянутый</t>
  </si>
  <si>
    <t>375х10</t>
  </si>
  <si>
    <t>273х18</t>
  </si>
  <si>
    <t>Швеллер</t>
  </si>
  <si>
    <t>16У</t>
  </si>
  <si>
    <t>20П</t>
  </si>
  <si>
    <t>38х2</t>
  </si>
  <si>
    <t>1х1000х1400</t>
  </si>
  <si>
    <t>квадрат</t>
  </si>
  <si>
    <t>12 (б)</t>
  </si>
  <si>
    <t>10 (б)</t>
  </si>
  <si>
    <t>38Х2МЮА</t>
  </si>
  <si>
    <t>30ХГСА</t>
  </si>
  <si>
    <t>У9</t>
  </si>
  <si>
    <t>40ХН2МА</t>
  </si>
  <si>
    <t>13,8 (б)</t>
  </si>
  <si>
    <t>р/ж</t>
  </si>
  <si>
    <t>40ХН</t>
  </si>
  <si>
    <t>18ХГТ</t>
  </si>
  <si>
    <t>9х400</t>
  </si>
  <si>
    <t>38ХС</t>
  </si>
  <si>
    <t>25Х5</t>
  </si>
  <si>
    <t>15Х</t>
  </si>
  <si>
    <t>09Г2С</t>
  </si>
  <si>
    <t>25ХГС</t>
  </si>
  <si>
    <t>15</t>
  </si>
  <si>
    <t>09г2с</t>
  </si>
  <si>
    <t>Шестигранник сорт. Холоднотянут</t>
  </si>
  <si>
    <t>Шестигранник сорт. Горячекатанн</t>
  </si>
  <si>
    <t>КАЛИБРОВАННЫЕ  КРУГИ  и ШЕСТИГРАННИКИ</t>
  </si>
  <si>
    <t>60С</t>
  </si>
  <si>
    <t xml:space="preserve">ГОРЯЧЕКАТАННЫЕ  </t>
  </si>
  <si>
    <t>КРУГИ  и ШЕСТИГРАННИКИ</t>
  </si>
  <si>
    <t>разн</t>
  </si>
  <si>
    <t>114х10</t>
  </si>
  <si>
    <t>355х300</t>
  </si>
  <si>
    <t>Поковка</t>
  </si>
  <si>
    <t>35 р/ж</t>
  </si>
  <si>
    <t xml:space="preserve"> 20 р/ж</t>
  </si>
  <si>
    <t>40Х р.ж.</t>
  </si>
  <si>
    <t>40 р.ж.</t>
  </si>
  <si>
    <t>У10</t>
  </si>
  <si>
    <t>У8А</t>
  </si>
  <si>
    <t>21 (б)</t>
  </si>
  <si>
    <t>У8</t>
  </si>
  <si>
    <t>8 (б)</t>
  </si>
  <si>
    <t>30Х рж</t>
  </si>
  <si>
    <t>12Х1МФ</t>
  </si>
  <si>
    <t>50Г</t>
  </si>
  <si>
    <t>35Г2</t>
  </si>
  <si>
    <t>40ХГТ</t>
  </si>
  <si>
    <t>34-36</t>
  </si>
  <si>
    <t>1-1,5</t>
  </si>
  <si>
    <t>23 (б)</t>
  </si>
  <si>
    <t>15 (б)</t>
  </si>
  <si>
    <t>30</t>
  </si>
  <si>
    <t>25 (б)</t>
  </si>
  <si>
    <t>24 (б)</t>
  </si>
  <si>
    <t>45рж</t>
  </si>
  <si>
    <t>У12А</t>
  </si>
  <si>
    <t>ИНСТРУМЕНТАЛКА</t>
  </si>
  <si>
    <t>30Х</t>
  </si>
  <si>
    <t>13х75</t>
  </si>
  <si>
    <t>114х11</t>
  </si>
  <si>
    <t>8,,5</t>
  </si>
  <si>
    <t>У7</t>
  </si>
  <si>
    <t>8х12</t>
  </si>
  <si>
    <t>16 (б)</t>
  </si>
  <si>
    <t>11 (б)</t>
  </si>
  <si>
    <t>35 р.ж.</t>
  </si>
  <si>
    <t>14 (б)</t>
  </si>
  <si>
    <t>2,5х7 (б)</t>
  </si>
  <si>
    <t>А12 р/ж</t>
  </si>
  <si>
    <t>30 крив</t>
  </si>
  <si>
    <t>127х20</t>
  </si>
  <si>
    <t>крив</t>
  </si>
  <si>
    <t>26,5 (б)</t>
  </si>
  <si>
    <t>рж</t>
  </si>
  <si>
    <t>20Хр/ж</t>
  </si>
  <si>
    <t>9,2 (б)</t>
  </si>
  <si>
    <t>20 р/ж</t>
  </si>
  <si>
    <t>10х105</t>
  </si>
  <si>
    <t>15ХН</t>
  </si>
  <si>
    <t>08ПС</t>
  </si>
  <si>
    <t>219х30</t>
  </si>
  <si>
    <t>30ХН2НФА</t>
  </si>
  <si>
    <t>40 р/ж</t>
  </si>
  <si>
    <t>ШХ15</t>
  </si>
  <si>
    <t>50ХГ</t>
  </si>
  <si>
    <t>30ХГСН2А</t>
  </si>
  <si>
    <t>7,5 (б)</t>
  </si>
  <si>
    <t>40Х р/ж</t>
  </si>
  <si>
    <t>15Н2МА</t>
  </si>
  <si>
    <t>70</t>
  </si>
  <si>
    <t>1,95х100</t>
  </si>
  <si>
    <t>2х130</t>
  </si>
  <si>
    <t>08Х18Н10Г</t>
  </si>
  <si>
    <t>45Х2МФА</t>
  </si>
  <si>
    <t>Х12МФ</t>
  </si>
  <si>
    <t>38ХГМ</t>
  </si>
  <si>
    <t>30ХМ</t>
  </si>
  <si>
    <t>40Х2Н2М</t>
  </si>
  <si>
    <t>55ПП</t>
  </si>
  <si>
    <t>22 (б)</t>
  </si>
  <si>
    <t>114х28</t>
  </si>
  <si>
    <t>38х8</t>
  </si>
  <si>
    <t>25</t>
  </si>
  <si>
    <t>4 (б)</t>
  </si>
  <si>
    <t>40ХФА</t>
  </si>
  <si>
    <t>А12р/ж</t>
  </si>
  <si>
    <t>9ХС</t>
  </si>
  <si>
    <t>АС35Г2</t>
  </si>
  <si>
    <t>2,1 (б)</t>
  </si>
  <si>
    <t>бронь</t>
  </si>
  <si>
    <t>6,5 (б)</t>
  </si>
  <si>
    <t>У10А</t>
  </si>
  <si>
    <t>60Г</t>
  </si>
  <si>
    <t>ХВГ</t>
  </si>
  <si>
    <t>3Х3МФ</t>
  </si>
  <si>
    <t>4Х5МФС</t>
  </si>
  <si>
    <t>6ХВ2С</t>
  </si>
  <si>
    <t>4Х%МФС</t>
  </si>
  <si>
    <t>3ПС</t>
  </si>
  <si>
    <t>38Х2Н2</t>
  </si>
  <si>
    <t>08Ю</t>
  </si>
  <si>
    <t>3КП</t>
  </si>
  <si>
    <t>уголок</t>
  </si>
  <si>
    <t>3х1500х6000</t>
  </si>
  <si>
    <t>6х1500х6000</t>
  </si>
  <si>
    <t>20Х р/ж</t>
  </si>
  <si>
    <t>45ХН2НФА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</si>
</sst>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9"/>
      <name val="Rockwell"/>
      <family val="1"/>
    </font>
    <font>
      <b/>
      <sz val="8"/>
      <color indexed="8"/>
      <name val="Times New Roman"/>
      <family val="1"/>
    </font>
    <font>
      <b/>
      <sz val="9"/>
      <name val="Calibri"/>
      <family val="2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6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0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2" borderId="10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14" fillId="6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4" fillId="35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 wrapText="1"/>
    </xf>
    <xf numFmtId="0" fontId="14" fillId="35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80" fontId="14" fillId="0" borderId="0" xfId="0" applyNumberFormat="1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tabSelected="1" view="pageBreakPreview" zoomScaleSheetLayoutView="100" workbookViewId="0" topLeftCell="A79">
      <selection activeCell="V110" sqref="V110"/>
    </sheetView>
  </sheetViews>
  <sheetFormatPr defaultColWidth="9.00390625" defaultRowHeight="11.25" customHeight="1"/>
  <cols>
    <col min="1" max="1" width="1.75390625" style="1" customWidth="1"/>
    <col min="2" max="2" width="7.125" style="1" customWidth="1"/>
    <col min="3" max="3" width="7.375" style="2" customWidth="1"/>
    <col min="4" max="4" width="7.125" style="2" customWidth="1"/>
    <col min="5" max="5" width="6.625" style="1" customWidth="1"/>
    <col min="6" max="6" width="0.875" style="8" customWidth="1"/>
    <col min="7" max="7" width="1.75390625" style="3" customWidth="1"/>
    <col min="8" max="8" width="6.625" style="3" customWidth="1"/>
    <col min="9" max="9" width="7.25390625" style="3" customWidth="1"/>
    <col min="10" max="10" width="6.375" style="3" customWidth="1"/>
    <col min="11" max="11" width="6.625" style="1" customWidth="1"/>
    <col min="12" max="12" width="0.875" style="8" customWidth="1"/>
    <col min="13" max="13" width="1.875" style="9" customWidth="1"/>
    <col min="14" max="14" width="6.125" style="3" customWidth="1"/>
    <col min="15" max="16" width="7.75390625" style="3" customWidth="1"/>
    <col min="17" max="17" width="6.625" style="1" customWidth="1"/>
    <col min="18" max="18" width="0.875" style="8" customWidth="1"/>
    <col min="19" max="19" width="1.875" style="3" customWidth="1"/>
    <col min="20" max="20" width="11.625" style="3" customWidth="1"/>
    <col min="21" max="21" width="6.375" style="3" customWidth="1"/>
    <col min="22" max="22" width="7.75390625" style="3" customWidth="1"/>
    <col min="23" max="23" width="6.625" style="1" customWidth="1"/>
    <col min="24" max="24" width="0.875" style="8" customWidth="1"/>
    <col min="25" max="16384" width="9.125" style="3" customWidth="1"/>
  </cols>
  <sheetData>
    <row r="1" spans="1:24" s="11" customFormat="1" ht="15.75" customHeight="1">
      <c r="A1" s="129" t="s">
        <v>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31"/>
    </row>
    <row r="2" spans="1:24" s="10" customFormat="1" ht="10.5" customHeight="1">
      <c r="A2" s="130" t="s">
        <v>19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7"/>
    </row>
    <row r="3" spans="1:24" s="4" customFormat="1" ht="12.75" customHeight="1">
      <c r="A3" s="124" t="s">
        <v>16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47">
        <v>43200</v>
      </c>
      <c r="W3" s="147"/>
      <c r="X3" s="17"/>
    </row>
    <row r="4" spans="1:24" s="5" customFormat="1" ht="11.25" customHeight="1">
      <c r="A4" s="134"/>
      <c r="B4" s="127" t="s">
        <v>11</v>
      </c>
      <c r="C4" s="128" t="s">
        <v>7</v>
      </c>
      <c r="D4" s="128" t="s">
        <v>6</v>
      </c>
      <c r="E4" s="125" t="s">
        <v>29</v>
      </c>
      <c r="F4" s="26"/>
      <c r="G4" s="126"/>
      <c r="H4" s="127" t="s">
        <v>11</v>
      </c>
      <c r="I4" s="128" t="s">
        <v>7</v>
      </c>
      <c r="J4" s="128" t="s">
        <v>6</v>
      </c>
      <c r="K4" s="125" t="s">
        <v>29</v>
      </c>
      <c r="L4" s="26"/>
      <c r="M4" s="126"/>
      <c r="N4" s="127" t="s">
        <v>11</v>
      </c>
      <c r="O4" s="128" t="s">
        <v>7</v>
      </c>
      <c r="P4" s="128" t="s">
        <v>6</v>
      </c>
      <c r="Q4" s="125" t="s">
        <v>29</v>
      </c>
      <c r="R4" s="26"/>
      <c r="S4" s="126"/>
      <c r="T4" s="125" t="s">
        <v>11</v>
      </c>
      <c r="U4" s="128" t="s">
        <v>7</v>
      </c>
      <c r="V4" s="128" t="s">
        <v>6</v>
      </c>
      <c r="W4" s="125" t="s">
        <v>29</v>
      </c>
      <c r="X4" s="26"/>
    </row>
    <row r="5" spans="1:24" s="5" customFormat="1" ht="11.25" customHeight="1">
      <c r="A5" s="134"/>
      <c r="B5" s="127"/>
      <c r="C5" s="128"/>
      <c r="D5" s="128"/>
      <c r="E5" s="125"/>
      <c r="F5" s="26"/>
      <c r="G5" s="126"/>
      <c r="H5" s="127"/>
      <c r="I5" s="128"/>
      <c r="J5" s="128"/>
      <c r="K5" s="125"/>
      <c r="L5" s="26"/>
      <c r="M5" s="126"/>
      <c r="N5" s="127"/>
      <c r="O5" s="128"/>
      <c r="P5" s="128"/>
      <c r="Q5" s="125"/>
      <c r="R5" s="26"/>
      <c r="S5" s="126"/>
      <c r="T5" s="125"/>
      <c r="U5" s="128"/>
      <c r="V5" s="128"/>
      <c r="W5" s="125"/>
      <c r="X5" s="26"/>
    </row>
    <row r="6" spans="1:24" s="7" customFormat="1" ht="11.25" customHeight="1">
      <c r="A6" s="131" t="s">
        <v>61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3"/>
      <c r="X6" s="27"/>
    </row>
    <row r="7" spans="1:24" s="7" customFormat="1" ht="11.25" customHeight="1">
      <c r="A7" s="137" t="s">
        <v>30</v>
      </c>
      <c r="B7" s="137"/>
      <c r="C7" s="137"/>
      <c r="D7" s="137"/>
      <c r="E7" s="137"/>
      <c r="F7" s="27"/>
      <c r="G7" s="137" t="s">
        <v>30</v>
      </c>
      <c r="H7" s="137"/>
      <c r="I7" s="137"/>
      <c r="J7" s="137"/>
      <c r="K7" s="137"/>
      <c r="L7" s="27"/>
      <c r="M7" s="137" t="s">
        <v>30</v>
      </c>
      <c r="N7" s="137"/>
      <c r="O7" s="137"/>
      <c r="P7" s="137"/>
      <c r="Q7" s="137"/>
      <c r="R7" s="27"/>
      <c r="S7" s="123" t="s">
        <v>32</v>
      </c>
      <c r="T7" s="123"/>
      <c r="U7" s="123"/>
      <c r="V7" s="123"/>
      <c r="W7" s="123"/>
      <c r="X7" s="27"/>
    </row>
    <row r="8" spans="1:24" s="7" customFormat="1" ht="11.25" customHeight="1">
      <c r="A8" s="12" t="s">
        <v>9</v>
      </c>
      <c r="B8" s="102" t="s">
        <v>139</v>
      </c>
      <c r="C8" s="14" t="s">
        <v>0</v>
      </c>
      <c r="D8" s="15">
        <f>0.098-0.017</f>
        <v>0.081</v>
      </c>
      <c r="E8" s="21">
        <v>50000</v>
      </c>
      <c r="F8" s="22"/>
      <c r="G8" s="12" t="s">
        <v>9</v>
      </c>
      <c r="H8" s="36">
        <v>12</v>
      </c>
      <c r="I8" s="14" t="s">
        <v>1</v>
      </c>
      <c r="J8" s="15">
        <v>0.08</v>
      </c>
      <c r="K8" s="21">
        <v>50000</v>
      </c>
      <c r="L8" s="22"/>
      <c r="M8" s="12" t="s">
        <v>9</v>
      </c>
      <c r="N8" s="36">
        <v>30</v>
      </c>
      <c r="O8" s="14" t="s">
        <v>15</v>
      </c>
      <c r="P8" s="15">
        <f>0.276-0.12-0.036</f>
        <v>0.12000000000000002</v>
      </c>
      <c r="Q8" s="21">
        <v>50000</v>
      </c>
      <c r="R8" s="22"/>
      <c r="S8" s="12" t="s">
        <v>10</v>
      </c>
      <c r="T8" s="76">
        <v>19</v>
      </c>
      <c r="U8" s="14" t="s">
        <v>4</v>
      </c>
      <c r="V8" s="15">
        <f>0.222-0.06-0.012+0.27</f>
        <v>0.42000000000000004</v>
      </c>
      <c r="W8" s="21">
        <v>50000</v>
      </c>
      <c r="X8" s="22"/>
    </row>
    <row r="9" spans="1:24" s="7" customFormat="1" ht="11.25" customHeight="1">
      <c r="A9" s="12" t="s">
        <v>9</v>
      </c>
      <c r="B9" s="36" t="s">
        <v>139</v>
      </c>
      <c r="C9" s="14" t="s">
        <v>15</v>
      </c>
      <c r="D9" s="15">
        <v>0.136</v>
      </c>
      <c r="E9" s="21">
        <v>50000</v>
      </c>
      <c r="F9" s="22"/>
      <c r="G9" s="12" t="s">
        <v>9</v>
      </c>
      <c r="H9" s="36">
        <v>12</v>
      </c>
      <c r="I9" s="14" t="s">
        <v>17</v>
      </c>
      <c r="J9" s="15">
        <f>3.404-0.82-1.074+1.82+2.2-0.55-0.266</f>
        <v>4.714</v>
      </c>
      <c r="K9" s="21">
        <v>65000</v>
      </c>
      <c r="L9" s="22"/>
      <c r="M9" s="12" t="s">
        <v>9</v>
      </c>
      <c r="N9" s="35">
        <v>31</v>
      </c>
      <c r="O9" s="14" t="s">
        <v>4</v>
      </c>
      <c r="P9" s="15">
        <f>21.39-10.03-0.894-0.012-1-0.044-0.15-1.07-1.008-0.812-0.506+0.524-0.312+0.266-4.53-0.848-0.036-0.031-0.066-0.13-0.07-0.032-0.032-0.5</f>
        <v>0.0669999999999984</v>
      </c>
      <c r="Q9" s="21">
        <v>50000</v>
      </c>
      <c r="R9" s="22"/>
      <c r="S9" s="12" t="s">
        <v>10</v>
      </c>
      <c r="T9" s="96">
        <v>19</v>
      </c>
      <c r="U9" s="14" t="s">
        <v>3</v>
      </c>
      <c r="V9" s="15">
        <f>0.31-0.27</f>
        <v>0.03999999999999998</v>
      </c>
      <c r="W9" s="21">
        <v>50000</v>
      </c>
      <c r="X9" s="22"/>
    </row>
    <row r="10" spans="1:24" s="7" customFormat="1" ht="11.25" customHeight="1">
      <c r="A10" s="12" t="s">
        <v>9</v>
      </c>
      <c r="B10" s="61">
        <v>4</v>
      </c>
      <c r="C10" s="14" t="s">
        <v>0</v>
      </c>
      <c r="D10" s="15">
        <f>0.5-0.012-0.278-0.044-0.004-0.007</f>
        <v>0.15499999999999997</v>
      </c>
      <c r="E10" s="21">
        <v>50000</v>
      </c>
      <c r="F10" s="22"/>
      <c r="G10" s="12" t="s">
        <v>9</v>
      </c>
      <c r="H10" s="36">
        <v>13</v>
      </c>
      <c r="I10" s="14" t="s">
        <v>15</v>
      </c>
      <c r="J10" s="15">
        <f>19.05+2.408+1.75+2.61+4.62+1.97-0.502-10.008-0.53-0.5-0.5</f>
        <v>20.368000000000002</v>
      </c>
      <c r="K10" s="21">
        <v>55000</v>
      </c>
      <c r="L10" s="22"/>
      <c r="M10" s="12" t="s">
        <v>9</v>
      </c>
      <c r="N10" s="36">
        <v>32</v>
      </c>
      <c r="O10" s="14" t="s">
        <v>15</v>
      </c>
      <c r="P10" s="15">
        <v>0.034</v>
      </c>
      <c r="Q10" s="21">
        <v>50000</v>
      </c>
      <c r="R10" s="22"/>
      <c r="S10" s="12" t="s">
        <v>10</v>
      </c>
      <c r="T10" s="107">
        <v>19</v>
      </c>
      <c r="U10" s="14" t="s">
        <v>143</v>
      </c>
      <c r="V10" s="15">
        <f>3.41-1.8</f>
        <v>1.61</v>
      </c>
      <c r="W10" s="21">
        <v>65000</v>
      </c>
      <c r="X10" s="22"/>
    </row>
    <row r="11" spans="1:24" s="7" customFormat="1" ht="11.25" customHeight="1">
      <c r="A11" s="12" t="s">
        <v>9</v>
      </c>
      <c r="B11" s="51">
        <v>5</v>
      </c>
      <c r="C11" s="14"/>
      <c r="D11" s="15">
        <v>0.03</v>
      </c>
      <c r="E11" s="21">
        <v>50000</v>
      </c>
      <c r="F11" s="22"/>
      <c r="G11" s="12" t="s">
        <v>9</v>
      </c>
      <c r="H11" s="57">
        <v>13.5</v>
      </c>
      <c r="I11" s="14" t="s">
        <v>54</v>
      </c>
      <c r="J11" s="15">
        <v>0.414</v>
      </c>
      <c r="K11" s="21">
        <v>50000</v>
      </c>
      <c r="L11" s="22"/>
      <c r="M11" s="12" t="s">
        <v>9</v>
      </c>
      <c r="N11" s="98">
        <v>33</v>
      </c>
      <c r="O11" s="14" t="s">
        <v>0</v>
      </c>
      <c r="P11" s="15">
        <f>0.93+1.27-1.028-0.228-0.206</f>
        <v>0.7380000000000002</v>
      </c>
      <c r="Q11" s="21">
        <v>50000</v>
      </c>
      <c r="R11" s="22"/>
      <c r="S11" s="12" t="s">
        <v>10</v>
      </c>
      <c r="T11" s="120">
        <v>19</v>
      </c>
      <c r="U11" s="14" t="s">
        <v>2</v>
      </c>
      <c r="V11" s="15">
        <v>1.908</v>
      </c>
      <c r="W11" s="21">
        <v>50000</v>
      </c>
      <c r="X11" s="22"/>
    </row>
    <row r="12" spans="1:24" s="7" customFormat="1" ht="11.25" customHeight="1">
      <c r="A12" s="12" t="s">
        <v>9</v>
      </c>
      <c r="B12" s="51">
        <v>5</v>
      </c>
      <c r="C12" s="14"/>
      <c r="D12" s="15">
        <v>0.07</v>
      </c>
      <c r="E12" s="21">
        <v>50000</v>
      </c>
      <c r="F12" s="22"/>
      <c r="G12" s="12" t="s">
        <v>9</v>
      </c>
      <c r="H12" s="67">
        <v>14</v>
      </c>
      <c r="I12" s="14" t="s">
        <v>69</v>
      </c>
      <c r="J12" s="15">
        <f>0.14+0.304+0.28-0.032-0.444-0.06-0.032</f>
        <v>0.15599999999999994</v>
      </c>
      <c r="K12" s="21">
        <v>36000</v>
      </c>
      <c r="L12" s="22"/>
      <c r="M12" s="12" t="s">
        <v>9</v>
      </c>
      <c r="N12" s="107">
        <v>33</v>
      </c>
      <c r="O12" s="14" t="s">
        <v>4</v>
      </c>
      <c r="P12" s="15">
        <f>2.85+1.18+2.29+1.72+7.36+4.76-0.72-0.222</f>
        <v>19.218000000000004</v>
      </c>
      <c r="Q12" s="21">
        <v>50000</v>
      </c>
      <c r="R12" s="22"/>
      <c r="S12" s="12" t="s">
        <v>10</v>
      </c>
      <c r="T12" s="91">
        <v>20</v>
      </c>
      <c r="U12" s="14"/>
      <c r="V12" s="15">
        <v>0.736</v>
      </c>
      <c r="W12" s="21">
        <v>50000</v>
      </c>
      <c r="X12" s="22"/>
    </row>
    <row r="13" spans="1:24" s="7" customFormat="1" ht="11.25" customHeight="1">
      <c r="A13" s="12" t="s">
        <v>9</v>
      </c>
      <c r="B13" s="36">
        <v>5</v>
      </c>
      <c r="C13" s="14" t="s">
        <v>15</v>
      </c>
      <c r="D13" s="15">
        <f>0.226-0.056</f>
        <v>0.17</v>
      </c>
      <c r="E13" s="21">
        <v>50000</v>
      </c>
      <c r="F13" s="22"/>
      <c r="G13" s="12" t="s">
        <v>9</v>
      </c>
      <c r="H13" s="50">
        <v>14</v>
      </c>
      <c r="I13" s="14"/>
      <c r="J13" s="15">
        <v>0.078</v>
      </c>
      <c r="K13" s="21">
        <v>50000</v>
      </c>
      <c r="L13" s="22"/>
      <c r="M13" s="12" t="s">
        <v>9</v>
      </c>
      <c r="N13" s="36">
        <v>34</v>
      </c>
      <c r="O13" s="14"/>
      <c r="P13" s="15">
        <v>0.274</v>
      </c>
      <c r="Q13" s="21">
        <v>50000</v>
      </c>
      <c r="R13" s="22"/>
      <c r="S13" s="12" t="s">
        <v>10</v>
      </c>
      <c r="T13" s="36">
        <v>22</v>
      </c>
      <c r="U13" s="14" t="s">
        <v>0</v>
      </c>
      <c r="V13" s="15">
        <f>0.82-0.12-0.034-0.144-0.1</f>
        <v>0.42199999999999993</v>
      </c>
      <c r="W13" s="21">
        <v>50000</v>
      </c>
      <c r="X13" s="22"/>
    </row>
    <row r="14" spans="1:24" s="6" customFormat="1" ht="11.25" customHeight="1">
      <c r="A14" s="12" t="s">
        <v>9</v>
      </c>
      <c r="B14" s="35">
        <v>5.2</v>
      </c>
      <c r="C14" s="14" t="s">
        <v>0</v>
      </c>
      <c r="D14" s="15">
        <f>3.34-0.3+0.87-0.254+0.254-1-0.006</f>
        <v>2.9040000000000004</v>
      </c>
      <c r="E14" s="21">
        <v>50000</v>
      </c>
      <c r="F14" s="22"/>
      <c r="G14" s="12" t="s">
        <v>9</v>
      </c>
      <c r="H14" s="36">
        <v>14</v>
      </c>
      <c r="I14" s="14"/>
      <c r="J14" s="15">
        <v>0.06</v>
      </c>
      <c r="K14" s="21">
        <v>50000</v>
      </c>
      <c r="L14" s="22"/>
      <c r="M14" s="12" t="s">
        <v>9</v>
      </c>
      <c r="N14" s="36">
        <v>34</v>
      </c>
      <c r="O14" s="14" t="s">
        <v>4</v>
      </c>
      <c r="P14" s="15">
        <v>0.098</v>
      </c>
      <c r="Q14" s="21">
        <v>50000</v>
      </c>
      <c r="R14" s="22"/>
      <c r="S14" s="12" t="s">
        <v>10</v>
      </c>
      <c r="T14" s="36">
        <v>24</v>
      </c>
      <c r="U14" s="14" t="s">
        <v>4</v>
      </c>
      <c r="V14" s="15">
        <f>0.216-0.007</f>
        <v>0.209</v>
      </c>
      <c r="W14" s="21">
        <v>50000</v>
      </c>
      <c r="X14" s="22"/>
    </row>
    <row r="15" spans="1:24" s="7" customFormat="1" ht="11.25" customHeight="1">
      <c r="A15" s="12" t="s">
        <v>9</v>
      </c>
      <c r="B15" s="35">
        <v>5.3</v>
      </c>
      <c r="C15" s="14">
        <v>20</v>
      </c>
      <c r="D15" s="15">
        <f>2.38-0.254-0.005-0.02-0.336-0.39+0.312-0.052-0.01</f>
        <v>1.625</v>
      </c>
      <c r="E15" s="21">
        <v>50000</v>
      </c>
      <c r="F15" s="22"/>
      <c r="G15" s="12" t="s">
        <v>9</v>
      </c>
      <c r="H15" s="36">
        <v>14</v>
      </c>
      <c r="I15" s="14"/>
      <c r="J15" s="15">
        <v>0.304</v>
      </c>
      <c r="K15" s="21">
        <v>50000</v>
      </c>
      <c r="L15" s="22"/>
      <c r="M15" s="12" t="s">
        <v>9</v>
      </c>
      <c r="N15" s="36">
        <v>34</v>
      </c>
      <c r="O15" s="14" t="s">
        <v>15</v>
      </c>
      <c r="P15" s="15">
        <f>6.496-3.042-0.59</f>
        <v>2.8640000000000008</v>
      </c>
      <c r="Q15" s="21">
        <v>50000</v>
      </c>
      <c r="R15" s="22"/>
      <c r="S15" s="12" t="s">
        <v>10</v>
      </c>
      <c r="T15" s="56">
        <v>26.2</v>
      </c>
      <c r="U15" s="14" t="s">
        <v>0</v>
      </c>
      <c r="V15" s="15">
        <f>1.75-1.03-0.047-0.138-0.13-0.03-0.136-0.09-0.084</f>
        <v>0.06499999999999988</v>
      </c>
      <c r="W15" s="21">
        <v>30000</v>
      </c>
      <c r="X15" s="22"/>
    </row>
    <row r="16" spans="1:24" s="6" customFormat="1" ht="11.25" customHeight="1">
      <c r="A16" s="12" t="s">
        <v>9</v>
      </c>
      <c r="B16" s="36">
        <v>6</v>
      </c>
      <c r="C16" s="14" t="s">
        <v>138</v>
      </c>
      <c r="D16" s="15">
        <v>0.61</v>
      </c>
      <c r="E16" s="21">
        <v>50000</v>
      </c>
      <c r="F16" s="22"/>
      <c r="G16" s="12" t="s">
        <v>9</v>
      </c>
      <c r="H16" s="108">
        <v>14</v>
      </c>
      <c r="I16" s="14" t="s">
        <v>17</v>
      </c>
      <c r="J16" s="15">
        <f>2.95-0.98-1</f>
        <v>0.9700000000000002</v>
      </c>
      <c r="K16" s="21">
        <v>65000</v>
      </c>
      <c r="L16" s="22"/>
      <c r="M16" s="12" t="s">
        <v>9</v>
      </c>
      <c r="N16" s="53">
        <v>35</v>
      </c>
      <c r="O16" s="14" t="s">
        <v>15</v>
      </c>
      <c r="P16" s="15">
        <v>0.1</v>
      </c>
      <c r="Q16" s="21">
        <v>50000</v>
      </c>
      <c r="R16" s="22"/>
      <c r="S16" s="12" t="s">
        <v>10</v>
      </c>
      <c r="T16" s="74">
        <v>27</v>
      </c>
      <c r="U16" s="14" t="s">
        <v>2</v>
      </c>
      <c r="V16" s="15">
        <f>1.42-0.024-0.007-0.006-0.046-0.308-0.07-0.01-0.15-0.01-0.024-0.068-0.106-0.074+0.068-0.022-0.026-0.5</f>
        <v>0.03699999999999992</v>
      </c>
      <c r="W16" s="21">
        <v>45000</v>
      </c>
      <c r="X16" s="22"/>
    </row>
    <row r="17" spans="1:24" s="6" customFormat="1" ht="11.25" customHeight="1">
      <c r="A17" s="12" t="s">
        <v>9</v>
      </c>
      <c r="B17" s="36">
        <v>6</v>
      </c>
      <c r="C17" s="14" t="s">
        <v>1</v>
      </c>
      <c r="D17" s="15">
        <v>0.164</v>
      </c>
      <c r="E17" s="21">
        <v>50000</v>
      </c>
      <c r="F17" s="22"/>
      <c r="G17" s="12" t="s">
        <v>9</v>
      </c>
      <c r="H17" s="36">
        <v>14</v>
      </c>
      <c r="I17" s="14" t="s">
        <v>15</v>
      </c>
      <c r="J17" s="15">
        <v>0.17</v>
      </c>
      <c r="K17" s="21">
        <v>50000</v>
      </c>
      <c r="L17" s="22"/>
      <c r="M17" s="12" t="s">
        <v>9</v>
      </c>
      <c r="N17" s="36">
        <v>35</v>
      </c>
      <c r="O17" s="14" t="s">
        <v>2</v>
      </c>
      <c r="P17" s="15">
        <f>0.63+1.228-0.166-0.078-0.048-0.14-0.192-0.24-0.03-0.05-0.129</f>
        <v>0.7850000000000001</v>
      </c>
      <c r="Q17" s="21">
        <v>50000</v>
      </c>
      <c r="R17" s="22"/>
      <c r="S17" s="12" t="s">
        <v>10</v>
      </c>
      <c r="T17" s="107">
        <v>32</v>
      </c>
      <c r="U17" s="14" t="s">
        <v>17</v>
      </c>
      <c r="V17" s="15">
        <f>1.56-0.054</f>
        <v>1.506</v>
      </c>
      <c r="W17" s="21">
        <v>65000</v>
      </c>
      <c r="X17" s="22"/>
    </row>
    <row r="18" spans="1:24" s="6" customFormat="1" ht="11.25" customHeight="1">
      <c r="A18" s="12" t="s">
        <v>9</v>
      </c>
      <c r="B18" s="103">
        <v>6</v>
      </c>
      <c r="C18" s="16" t="s">
        <v>15</v>
      </c>
      <c r="D18" s="15">
        <v>0.086</v>
      </c>
      <c r="E18" s="21">
        <v>50000</v>
      </c>
      <c r="F18" s="22"/>
      <c r="G18" s="12"/>
      <c r="H18" s="103"/>
      <c r="I18" s="16"/>
      <c r="J18" s="15"/>
      <c r="K18" s="21"/>
      <c r="L18" s="22"/>
      <c r="M18" s="12" t="s">
        <v>9</v>
      </c>
      <c r="N18" s="36">
        <v>38</v>
      </c>
      <c r="O18" s="14" t="s">
        <v>1</v>
      </c>
      <c r="P18" s="15">
        <v>0.05</v>
      </c>
      <c r="Q18" s="21">
        <v>50000</v>
      </c>
      <c r="R18" s="22"/>
      <c r="S18" s="12" t="s">
        <v>10</v>
      </c>
      <c r="T18" s="77">
        <v>36</v>
      </c>
      <c r="U18" s="16" t="s">
        <v>15</v>
      </c>
      <c r="V18" s="15">
        <f>10.43-1.006+1.006+14.26-0.514-1.006-0.502-0.976-0.876+14.7-0.93-1.504-0.142-1.11-1.504-0.5-0.482-1.61</f>
        <v>27.733999999999998</v>
      </c>
      <c r="W18" s="21">
        <v>60000</v>
      </c>
      <c r="X18" s="22"/>
    </row>
    <row r="19" spans="1:24" s="6" customFormat="1" ht="11.25" customHeight="1">
      <c r="A19" s="12" t="s">
        <v>9</v>
      </c>
      <c r="B19" s="102">
        <v>6</v>
      </c>
      <c r="C19" s="14" t="s">
        <v>0</v>
      </c>
      <c r="D19" s="15">
        <v>0.15</v>
      </c>
      <c r="E19" s="21">
        <v>50000</v>
      </c>
      <c r="F19" s="22"/>
      <c r="G19" s="12" t="s">
        <v>9</v>
      </c>
      <c r="H19" s="50">
        <v>14.2</v>
      </c>
      <c r="I19" s="16"/>
      <c r="J19" s="15">
        <f>0.39-0.22</f>
        <v>0.17</v>
      </c>
      <c r="K19" s="21">
        <v>50000</v>
      </c>
      <c r="L19" s="22"/>
      <c r="M19" s="123" t="s">
        <v>59</v>
      </c>
      <c r="N19" s="123"/>
      <c r="O19" s="123"/>
      <c r="P19" s="123"/>
      <c r="Q19" s="123"/>
      <c r="R19" s="22"/>
      <c r="S19" s="12" t="s">
        <v>10</v>
      </c>
      <c r="T19" s="36">
        <v>38</v>
      </c>
      <c r="U19" s="14" t="s">
        <v>1</v>
      </c>
      <c r="V19" s="15">
        <f>1.62+0.82-0.14</f>
        <v>2.3</v>
      </c>
      <c r="W19" s="21">
        <v>50000</v>
      </c>
      <c r="X19" s="22"/>
    </row>
    <row r="20" spans="1:24" s="6" customFormat="1" ht="11.25" customHeight="1">
      <c r="A20" s="12" t="s">
        <v>9</v>
      </c>
      <c r="B20" s="36">
        <v>6.5</v>
      </c>
      <c r="C20" s="14" t="s">
        <v>141</v>
      </c>
      <c r="D20" s="15">
        <v>0.402</v>
      </c>
      <c r="E20" s="21">
        <v>28000</v>
      </c>
      <c r="F20" s="22"/>
      <c r="G20" s="12" t="s">
        <v>9</v>
      </c>
      <c r="H20" s="73">
        <v>14.2</v>
      </c>
      <c r="I20" s="14" t="s">
        <v>12</v>
      </c>
      <c r="J20" s="15">
        <f>0.2-0.052</f>
        <v>0.14800000000000002</v>
      </c>
      <c r="K20" s="21">
        <v>50000</v>
      </c>
      <c r="L20" s="22"/>
      <c r="M20" s="12" t="s">
        <v>10</v>
      </c>
      <c r="N20" s="35">
        <v>5</v>
      </c>
      <c r="O20" s="14" t="s">
        <v>15</v>
      </c>
      <c r="P20" s="15">
        <v>0.034</v>
      </c>
      <c r="Q20" s="21">
        <v>60000</v>
      </c>
      <c r="R20" s="22"/>
      <c r="S20" s="12" t="s">
        <v>10</v>
      </c>
      <c r="T20" s="36">
        <v>38</v>
      </c>
      <c r="U20" s="14" t="s">
        <v>109</v>
      </c>
      <c r="V20" s="15">
        <f>0.59+2.02</f>
        <v>2.61</v>
      </c>
      <c r="W20" s="21">
        <v>38000</v>
      </c>
      <c r="X20" s="22"/>
    </row>
    <row r="21" spans="1:24" s="6" customFormat="1" ht="11.25" customHeight="1">
      <c r="A21" s="12" t="s">
        <v>9</v>
      </c>
      <c r="B21" s="36">
        <v>7</v>
      </c>
      <c r="C21" s="14" t="s">
        <v>1</v>
      </c>
      <c r="D21" s="15">
        <v>0.124</v>
      </c>
      <c r="E21" s="21">
        <v>50000</v>
      </c>
      <c r="F21" s="22"/>
      <c r="G21" s="12" t="s">
        <v>9</v>
      </c>
      <c r="H21" s="79">
        <v>14.7</v>
      </c>
      <c r="I21" s="16" t="s">
        <v>112</v>
      </c>
      <c r="J21" s="15">
        <f>12.06-8.774-0.012+1.88+1.06+0.9+1.19+0.87+1.1+0.88+0.994-5-2.7-4.264</f>
        <v>0.18400000000000105</v>
      </c>
      <c r="K21" s="21">
        <v>45000</v>
      </c>
      <c r="L21" s="22"/>
      <c r="M21" s="12" t="s">
        <v>10</v>
      </c>
      <c r="N21" s="35">
        <v>6</v>
      </c>
      <c r="O21" s="14" t="s">
        <v>15</v>
      </c>
      <c r="P21" s="15">
        <v>0.11</v>
      </c>
      <c r="Q21" s="21">
        <v>50000</v>
      </c>
      <c r="R21" s="22"/>
      <c r="S21" s="12" t="s">
        <v>10</v>
      </c>
      <c r="T21" s="36">
        <v>40</v>
      </c>
      <c r="U21" s="14" t="s">
        <v>1</v>
      </c>
      <c r="V21" s="15">
        <v>0.63</v>
      </c>
      <c r="W21" s="21">
        <v>40000</v>
      </c>
      <c r="X21" s="22"/>
    </row>
    <row r="22" spans="1:24" s="6" customFormat="1" ht="11.25" customHeight="1">
      <c r="A22" s="12" t="s">
        <v>9</v>
      </c>
      <c r="B22" s="74">
        <v>7</v>
      </c>
      <c r="C22" s="14" t="s">
        <v>4</v>
      </c>
      <c r="D22" s="15">
        <f>0.054-0.04</f>
        <v>0.013999999999999999</v>
      </c>
      <c r="E22" s="21">
        <v>50000</v>
      </c>
      <c r="F22" s="22"/>
      <c r="G22" s="12" t="s">
        <v>9</v>
      </c>
      <c r="H22" s="70">
        <v>14.9</v>
      </c>
      <c r="I22" s="16" t="s">
        <v>105</v>
      </c>
      <c r="J22" s="15">
        <f>2.21-0.008-2.14-0.02</f>
        <v>0.04199999999999983</v>
      </c>
      <c r="K22" s="21">
        <v>45000</v>
      </c>
      <c r="L22" s="22"/>
      <c r="M22" s="12" t="s">
        <v>10</v>
      </c>
      <c r="N22" s="35">
        <v>8</v>
      </c>
      <c r="O22" s="14" t="s">
        <v>4</v>
      </c>
      <c r="P22" s="15">
        <f>1.465+0.664+1.02-0.034</f>
        <v>3.115</v>
      </c>
      <c r="Q22" s="21">
        <v>50000</v>
      </c>
      <c r="R22" s="22"/>
      <c r="S22" s="12" t="s">
        <v>10</v>
      </c>
      <c r="T22" s="36">
        <v>41</v>
      </c>
      <c r="U22" s="14" t="s">
        <v>4</v>
      </c>
      <c r="V22" s="15">
        <f>20.5+10.334-0.14-0.208-2.1-0.99-8.25-0.208-0.278-3.11-0.208-1.69-2.014-0.59-0.314-0.514-2.02-0.118-1.38-2.054-1.17</f>
        <v>3.478000000000007</v>
      </c>
      <c r="W22" s="21">
        <v>36000</v>
      </c>
      <c r="X22" s="22"/>
    </row>
    <row r="23" spans="1:24" s="6" customFormat="1" ht="11.25" customHeight="1">
      <c r="A23" s="12" t="s">
        <v>9</v>
      </c>
      <c r="B23" s="61">
        <v>7.3</v>
      </c>
      <c r="C23" s="14" t="s">
        <v>4</v>
      </c>
      <c r="D23" s="15">
        <f>0.075-0.03</f>
        <v>0.045</v>
      </c>
      <c r="E23" s="21">
        <v>50000</v>
      </c>
      <c r="F23" s="22"/>
      <c r="G23" s="12" t="s">
        <v>9</v>
      </c>
      <c r="H23" s="36">
        <v>15</v>
      </c>
      <c r="I23" s="14" t="s">
        <v>0</v>
      </c>
      <c r="J23" s="15">
        <v>0.064</v>
      </c>
      <c r="K23" s="21">
        <v>50000</v>
      </c>
      <c r="L23" s="22"/>
      <c r="M23" s="12" t="s">
        <v>10</v>
      </c>
      <c r="N23" s="51">
        <v>8</v>
      </c>
      <c r="O23" s="14"/>
      <c r="P23" s="15">
        <v>0.086</v>
      </c>
      <c r="Q23" s="21">
        <v>50000</v>
      </c>
      <c r="R23" s="22"/>
      <c r="S23" s="12" t="s">
        <v>10</v>
      </c>
      <c r="T23" s="36">
        <v>46</v>
      </c>
      <c r="U23" s="14" t="s">
        <v>90</v>
      </c>
      <c r="V23" s="15">
        <v>0.054</v>
      </c>
      <c r="W23" s="21">
        <v>38000</v>
      </c>
      <c r="X23" s="22"/>
    </row>
    <row r="24" spans="1:24" s="6" customFormat="1" ht="11.25" customHeight="1">
      <c r="A24" s="12" t="s">
        <v>9</v>
      </c>
      <c r="B24" s="36">
        <v>7.5</v>
      </c>
      <c r="C24" s="14" t="s">
        <v>15</v>
      </c>
      <c r="D24" s="15">
        <f>0.3+0.038</f>
        <v>0.33799999999999997</v>
      </c>
      <c r="E24" s="21">
        <v>50000</v>
      </c>
      <c r="F24" s="22"/>
      <c r="G24" s="12" t="s">
        <v>9</v>
      </c>
      <c r="H24" s="37">
        <v>15</v>
      </c>
      <c r="I24" s="16"/>
      <c r="J24" s="15">
        <f>0.108+0.056</f>
        <v>0.164</v>
      </c>
      <c r="K24" s="21">
        <v>50000</v>
      </c>
      <c r="L24" s="22"/>
      <c r="M24" s="12" t="s">
        <v>10</v>
      </c>
      <c r="N24" s="35">
        <v>9</v>
      </c>
      <c r="O24" s="14" t="s">
        <v>3</v>
      </c>
      <c r="P24" s="15">
        <f>0.98+2.1</f>
        <v>3.08</v>
      </c>
      <c r="Q24" s="21">
        <v>50000</v>
      </c>
      <c r="R24" s="22"/>
      <c r="S24" s="123" t="s">
        <v>92</v>
      </c>
      <c r="T24" s="123"/>
      <c r="U24" s="123"/>
      <c r="V24" s="123"/>
      <c r="W24" s="123"/>
      <c r="X24" s="22"/>
    </row>
    <row r="25" spans="1:24" s="7" customFormat="1" ht="11.25" customHeight="1">
      <c r="A25" s="12" t="s">
        <v>9</v>
      </c>
      <c r="B25" s="36">
        <v>7.5</v>
      </c>
      <c r="C25" s="14" t="s">
        <v>1</v>
      </c>
      <c r="D25" s="15">
        <v>0.098</v>
      </c>
      <c r="E25" s="21">
        <v>50000</v>
      </c>
      <c r="F25" s="22"/>
      <c r="G25" s="12"/>
      <c r="H25" s="35"/>
      <c r="I25" s="14"/>
      <c r="J25" s="15"/>
      <c r="K25" s="21"/>
      <c r="L25" s="22"/>
      <c r="M25" s="12" t="s">
        <v>10</v>
      </c>
      <c r="N25" s="35">
        <v>9</v>
      </c>
      <c r="O25" s="14" t="s">
        <v>15</v>
      </c>
      <c r="P25" s="15">
        <v>0.056</v>
      </c>
      <c r="Q25" s="21">
        <v>50000</v>
      </c>
      <c r="R25" s="22"/>
      <c r="S25" s="12" t="s">
        <v>9</v>
      </c>
      <c r="T25" s="67">
        <v>8</v>
      </c>
      <c r="U25" s="14" t="s">
        <v>97</v>
      </c>
      <c r="V25" s="15">
        <v>0.286</v>
      </c>
      <c r="W25" s="21">
        <v>60000</v>
      </c>
      <c r="X25" s="22"/>
    </row>
    <row r="26" spans="1:24" s="6" customFormat="1" ht="11.25" customHeight="1">
      <c r="A26" s="12" t="s">
        <v>9</v>
      </c>
      <c r="B26" s="36" t="s">
        <v>122</v>
      </c>
      <c r="C26" s="14" t="s">
        <v>2</v>
      </c>
      <c r="D26" s="15">
        <v>0.194</v>
      </c>
      <c r="E26" s="21">
        <v>50000</v>
      </c>
      <c r="F26" s="22"/>
      <c r="G26" s="12" t="s">
        <v>9</v>
      </c>
      <c r="H26" s="36">
        <v>15</v>
      </c>
      <c r="I26" s="14" t="s">
        <v>15</v>
      </c>
      <c r="J26" s="15">
        <f>0.758-0.004-0.1-0.024</f>
        <v>0.63</v>
      </c>
      <c r="K26" s="21">
        <v>55000</v>
      </c>
      <c r="L26" s="22"/>
      <c r="M26" s="12" t="s">
        <v>10</v>
      </c>
      <c r="N26" s="35">
        <v>10</v>
      </c>
      <c r="O26" s="14" t="s">
        <v>1</v>
      </c>
      <c r="P26" s="15">
        <f>1.39-0.25-0.004-0.348-0.003</f>
        <v>0.7849999999999999</v>
      </c>
      <c r="Q26" s="21">
        <v>50000</v>
      </c>
      <c r="R26" s="22"/>
      <c r="S26" s="12" t="s">
        <v>9</v>
      </c>
      <c r="T26" s="35">
        <v>11</v>
      </c>
      <c r="U26" s="14" t="s">
        <v>53</v>
      </c>
      <c r="V26" s="15">
        <v>0.08</v>
      </c>
      <c r="W26" s="21">
        <v>60000</v>
      </c>
      <c r="X26" s="22"/>
    </row>
    <row r="27" spans="1:24" ht="11.25" customHeight="1">
      <c r="A27" s="12" t="s">
        <v>9</v>
      </c>
      <c r="B27" s="36">
        <v>7.5</v>
      </c>
      <c r="C27" s="14" t="s">
        <v>2</v>
      </c>
      <c r="D27" s="15">
        <v>1.05</v>
      </c>
      <c r="E27" s="21">
        <v>50000</v>
      </c>
      <c r="F27" s="22"/>
      <c r="G27" s="12" t="s">
        <v>9</v>
      </c>
      <c r="H27" s="36">
        <v>15.5</v>
      </c>
      <c r="I27" s="14" t="s">
        <v>5</v>
      </c>
      <c r="J27" s="15">
        <f>0.25+0.2</f>
        <v>0.45</v>
      </c>
      <c r="K27" s="21">
        <v>50000</v>
      </c>
      <c r="L27" s="22"/>
      <c r="M27" s="12" t="s">
        <v>10</v>
      </c>
      <c r="N27" s="102">
        <v>10</v>
      </c>
      <c r="O27" s="14" t="s">
        <v>15</v>
      </c>
      <c r="P27" s="15">
        <v>0.32</v>
      </c>
      <c r="Q27" s="21">
        <v>50000</v>
      </c>
      <c r="R27" s="22"/>
      <c r="S27" s="12" t="s">
        <v>9</v>
      </c>
      <c r="T27" s="36">
        <v>12</v>
      </c>
      <c r="U27" s="14" t="s">
        <v>91</v>
      </c>
      <c r="V27" s="15">
        <v>1</v>
      </c>
      <c r="W27" s="21">
        <v>60000</v>
      </c>
      <c r="X27" s="22"/>
    </row>
    <row r="28" spans="1:24" s="6" customFormat="1" ht="11.25" customHeight="1">
      <c r="A28" s="12" t="s">
        <v>9</v>
      </c>
      <c r="B28" s="60" t="s">
        <v>77</v>
      </c>
      <c r="C28" s="14" t="s">
        <v>5</v>
      </c>
      <c r="D28" s="15">
        <f>0.71+0.7-0.068+0.45-0.02</f>
        <v>1.7719999999999998</v>
      </c>
      <c r="E28" s="21">
        <v>50000</v>
      </c>
      <c r="F28" s="22"/>
      <c r="G28" s="12" t="s">
        <v>9</v>
      </c>
      <c r="H28" s="36">
        <v>15.5</v>
      </c>
      <c r="I28" s="14" t="s">
        <v>4</v>
      </c>
      <c r="J28" s="15">
        <v>2.31</v>
      </c>
      <c r="K28" s="21">
        <v>50000</v>
      </c>
      <c r="L28" s="22"/>
      <c r="M28" s="12" t="s">
        <v>10</v>
      </c>
      <c r="N28" s="107">
        <v>10</v>
      </c>
      <c r="O28" s="14" t="s">
        <v>17</v>
      </c>
      <c r="P28" s="15">
        <f>0.832+0.25</f>
        <v>1.0819999999999999</v>
      </c>
      <c r="Q28" s="21">
        <v>65000</v>
      </c>
      <c r="R28" s="22"/>
      <c r="S28" s="12" t="s">
        <v>9</v>
      </c>
      <c r="T28" s="36">
        <v>18</v>
      </c>
      <c r="U28" s="14" t="s">
        <v>45</v>
      </c>
      <c r="V28" s="15">
        <v>0.086</v>
      </c>
      <c r="W28" s="21">
        <v>60000</v>
      </c>
      <c r="X28" s="22"/>
    </row>
    <row r="29" spans="1:24" s="6" customFormat="1" ht="11.25" customHeight="1">
      <c r="A29" s="12" t="s">
        <v>9</v>
      </c>
      <c r="B29" s="67">
        <v>8</v>
      </c>
      <c r="C29" s="14" t="s">
        <v>4</v>
      </c>
      <c r="D29" s="15">
        <f>0.436+0.056+0.384-0.2+1.106-0.012+0.16-0.3-0.004</f>
        <v>1.626</v>
      </c>
      <c r="E29" s="21">
        <v>50000</v>
      </c>
      <c r="F29" s="22"/>
      <c r="G29" s="12" t="s">
        <v>9</v>
      </c>
      <c r="H29" s="36">
        <v>15.5</v>
      </c>
      <c r="I29" s="14" t="s">
        <v>123</v>
      </c>
      <c r="J29" s="15">
        <v>1.57</v>
      </c>
      <c r="K29" s="21">
        <v>38000</v>
      </c>
      <c r="L29" s="22"/>
      <c r="M29" s="12" t="s">
        <v>10</v>
      </c>
      <c r="N29" s="35">
        <v>11</v>
      </c>
      <c r="O29" s="14" t="s">
        <v>104</v>
      </c>
      <c r="P29" s="15">
        <v>0.076</v>
      </c>
      <c r="Q29" s="21">
        <v>35000</v>
      </c>
      <c r="R29" s="22"/>
      <c r="S29" s="12" t="s">
        <v>9</v>
      </c>
      <c r="T29" s="36">
        <v>20</v>
      </c>
      <c r="U29" s="14" t="s">
        <v>74</v>
      </c>
      <c r="V29" s="15">
        <f>0.11-0.004</f>
        <v>0.106</v>
      </c>
      <c r="W29" s="21">
        <v>60000</v>
      </c>
      <c r="X29" s="22"/>
    </row>
    <row r="30" spans="1:24" ht="11.25" customHeight="1">
      <c r="A30" s="12" t="s">
        <v>9</v>
      </c>
      <c r="B30" s="69">
        <v>8</v>
      </c>
      <c r="C30" s="14" t="s">
        <v>0</v>
      </c>
      <c r="D30" s="15">
        <f>0.232+0.34</f>
        <v>0.5720000000000001</v>
      </c>
      <c r="E30" s="21">
        <v>50000</v>
      </c>
      <c r="F30" s="22"/>
      <c r="G30" s="12" t="s">
        <v>9</v>
      </c>
      <c r="H30" s="36">
        <v>16</v>
      </c>
      <c r="I30" s="14" t="s">
        <v>0</v>
      </c>
      <c r="J30" s="15">
        <v>1.65</v>
      </c>
      <c r="K30" s="21">
        <v>50000</v>
      </c>
      <c r="L30" s="22"/>
      <c r="M30" s="12" t="s">
        <v>10</v>
      </c>
      <c r="N30" s="36">
        <v>11</v>
      </c>
      <c r="O30" s="14" t="s">
        <v>4</v>
      </c>
      <c r="P30" s="15">
        <v>1.15</v>
      </c>
      <c r="Q30" s="21">
        <v>50000</v>
      </c>
      <c r="R30" s="22"/>
      <c r="S30" s="12" t="s">
        <v>9</v>
      </c>
      <c r="T30" s="36">
        <v>22</v>
      </c>
      <c r="U30" s="14" t="s">
        <v>74</v>
      </c>
      <c r="V30" s="15">
        <v>0.424</v>
      </c>
      <c r="W30" s="21">
        <v>60000</v>
      </c>
      <c r="X30" s="22"/>
    </row>
    <row r="31" spans="1:24" ht="11.25" customHeight="1">
      <c r="A31" s="12" t="s">
        <v>9</v>
      </c>
      <c r="B31" s="66">
        <v>8</v>
      </c>
      <c r="C31" s="14" t="s">
        <v>5</v>
      </c>
      <c r="D31" s="15">
        <f>0.092+0.2-0.044</f>
        <v>0.24800000000000005</v>
      </c>
      <c r="E31" s="21">
        <v>50000</v>
      </c>
      <c r="F31" s="22"/>
      <c r="G31" s="12" t="s">
        <v>9</v>
      </c>
      <c r="H31" s="71">
        <v>16</v>
      </c>
      <c r="I31" s="14" t="s">
        <v>4</v>
      </c>
      <c r="J31" s="15">
        <v>0.014</v>
      </c>
      <c r="K31" s="21">
        <v>50000</v>
      </c>
      <c r="L31" s="22"/>
      <c r="M31" s="12" t="s">
        <v>10</v>
      </c>
      <c r="N31" s="36">
        <v>11</v>
      </c>
      <c r="O31" s="14" t="s">
        <v>4</v>
      </c>
      <c r="P31" s="15">
        <v>0.31</v>
      </c>
      <c r="Q31" s="21">
        <v>50000</v>
      </c>
      <c r="R31" s="22"/>
      <c r="S31" s="12" t="s">
        <v>9</v>
      </c>
      <c r="T31" s="36">
        <v>22</v>
      </c>
      <c r="U31" s="14" t="s">
        <v>149</v>
      </c>
      <c r="V31" s="15">
        <v>0.054</v>
      </c>
      <c r="W31" s="21">
        <v>60000</v>
      </c>
      <c r="X31" s="22"/>
    </row>
    <row r="32" spans="1:24" ht="11.25" customHeight="1">
      <c r="A32" s="12" t="s">
        <v>9</v>
      </c>
      <c r="B32" s="36">
        <v>8</v>
      </c>
      <c r="C32" s="14" t="s">
        <v>3</v>
      </c>
      <c r="D32" s="15">
        <v>0.456</v>
      </c>
      <c r="E32" s="21">
        <v>50000</v>
      </c>
      <c r="F32" s="22"/>
      <c r="G32" s="12" t="s">
        <v>9</v>
      </c>
      <c r="H32" s="36">
        <v>16</v>
      </c>
      <c r="I32" s="14" t="s">
        <v>15</v>
      </c>
      <c r="J32" s="15">
        <v>0.066</v>
      </c>
      <c r="K32" s="21">
        <v>50000</v>
      </c>
      <c r="L32" s="22"/>
      <c r="M32" s="12" t="s">
        <v>10</v>
      </c>
      <c r="N32" s="35">
        <v>12</v>
      </c>
      <c r="O32" s="14" t="s">
        <v>3</v>
      </c>
      <c r="P32" s="15">
        <f>0.08-0.014-0.05+1</f>
        <v>1.016</v>
      </c>
      <c r="Q32" s="21">
        <v>50000</v>
      </c>
      <c r="R32" s="22"/>
      <c r="S32" s="12" t="s">
        <v>9</v>
      </c>
      <c r="T32" s="63">
        <v>25</v>
      </c>
      <c r="U32" s="14" t="s">
        <v>74</v>
      </c>
      <c r="V32" s="15">
        <f>0.08-0.02</f>
        <v>0.06</v>
      </c>
      <c r="W32" s="21">
        <v>60000</v>
      </c>
      <c r="X32" s="22"/>
    </row>
    <row r="33" spans="1:24" ht="11.25" customHeight="1">
      <c r="A33" s="12" t="s">
        <v>9</v>
      </c>
      <c r="B33" s="68">
        <v>8</v>
      </c>
      <c r="C33" s="16">
        <v>50</v>
      </c>
      <c r="D33" s="15">
        <f>1.4+1.55+0.18-0.008-0.36</f>
        <v>2.7620000000000005</v>
      </c>
      <c r="E33" s="21">
        <v>50000</v>
      </c>
      <c r="F33" s="22"/>
      <c r="G33" s="12" t="s">
        <v>9</v>
      </c>
      <c r="H33" s="36">
        <v>16.2</v>
      </c>
      <c r="I33" s="14" t="s">
        <v>140</v>
      </c>
      <c r="J33" s="15">
        <v>0.27</v>
      </c>
      <c r="K33" s="21">
        <v>50000</v>
      </c>
      <c r="L33" s="22"/>
      <c r="M33" s="12" t="s">
        <v>10</v>
      </c>
      <c r="N33" s="35">
        <v>12</v>
      </c>
      <c r="O33" s="14" t="s">
        <v>15</v>
      </c>
      <c r="P33" s="15">
        <f>42.729-0.194-1-1.032-1.2-1.532-13.644-0.5-1.12</f>
        <v>22.507</v>
      </c>
      <c r="Q33" s="21">
        <v>60000</v>
      </c>
      <c r="R33" s="22"/>
      <c r="S33" s="12" t="s">
        <v>9</v>
      </c>
      <c r="T33" s="36">
        <v>25</v>
      </c>
      <c r="U33" s="14" t="s">
        <v>91</v>
      </c>
      <c r="V33" s="15">
        <f>0.5-0.027</f>
        <v>0.473</v>
      </c>
      <c r="W33" s="21">
        <v>60000</v>
      </c>
      <c r="X33" s="22"/>
    </row>
    <row r="34" spans="1:24" ht="11.25" customHeight="1">
      <c r="A34" s="12" t="s">
        <v>9</v>
      </c>
      <c r="B34" s="36">
        <v>8</v>
      </c>
      <c r="C34" s="14" t="s">
        <v>138</v>
      </c>
      <c r="D34" s="15">
        <v>0.23</v>
      </c>
      <c r="E34" s="21">
        <v>50000</v>
      </c>
      <c r="F34" s="22"/>
      <c r="G34" s="12" t="s">
        <v>9</v>
      </c>
      <c r="H34" s="59">
        <v>16.5</v>
      </c>
      <c r="I34" s="14" t="s">
        <v>1</v>
      </c>
      <c r="J34" s="15">
        <f>0.11-0.012</f>
        <v>0.098</v>
      </c>
      <c r="K34" s="21">
        <v>50000</v>
      </c>
      <c r="L34" s="22"/>
      <c r="M34" s="12" t="s">
        <v>10</v>
      </c>
      <c r="N34" s="51">
        <v>12</v>
      </c>
      <c r="O34" s="14" t="s">
        <v>4</v>
      </c>
      <c r="P34" s="15">
        <f>0.176-0.004</f>
        <v>0.172</v>
      </c>
      <c r="Q34" s="21">
        <v>60000</v>
      </c>
      <c r="R34" s="22"/>
      <c r="S34" s="12" t="s">
        <v>9</v>
      </c>
      <c r="T34" s="63">
        <v>30</v>
      </c>
      <c r="U34" s="14" t="s">
        <v>74</v>
      </c>
      <c r="V34" s="15">
        <f>0.29-0.006-0.006-0.022</f>
        <v>0.25599999999999995</v>
      </c>
      <c r="W34" s="21">
        <v>60000</v>
      </c>
      <c r="X34" s="22"/>
    </row>
    <row r="35" spans="1:24" ht="11.25" customHeight="1">
      <c r="A35" s="12" t="s">
        <v>9</v>
      </c>
      <c r="B35" s="36">
        <v>8</v>
      </c>
      <c r="C35" s="14" t="s">
        <v>1</v>
      </c>
      <c r="D35" s="15">
        <v>0.236</v>
      </c>
      <c r="E35" s="21">
        <v>50000</v>
      </c>
      <c r="F35" s="22"/>
      <c r="G35" s="12" t="s">
        <v>9</v>
      </c>
      <c r="H35" s="95">
        <v>16.8</v>
      </c>
      <c r="I35" s="14" t="s">
        <v>17</v>
      </c>
      <c r="J35" s="15">
        <v>0.33</v>
      </c>
      <c r="K35" s="21">
        <v>50000</v>
      </c>
      <c r="L35" s="22"/>
      <c r="M35" s="12" t="s">
        <v>10</v>
      </c>
      <c r="N35" s="51">
        <v>12</v>
      </c>
      <c r="O35" s="14" t="s">
        <v>2</v>
      </c>
      <c r="P35" s="15">
        <f>1.87+1.7-0.25+0.1-0.2</f>
        <v>3.22</v>
      </c>
      <c r="Q35" s="21">
        <v>50000</v>
      </c>
      <c r="R35" s="22"/>
      <c r="S35" s="12" t="s">
        <v>9</v>
      </c>
      <c r="T35" s="120">
        <v>30</v>
      </c>
      <c r="U35" s="14" t="s">
        <v>147</v>
      </c>
      <c r="V35" s="15">
        <v>0.058</v>
      </c>
      <c r="W35" s="21">
        <v>60000</v>
      </c>
      <c r="X35" s="22"/>
    </row>
    <row r="36" spans="1:24" ht="11.25" customHeight="1">
      <c r="A36" s="12" t="s">
        <v>9</v>
      </c>
      <c r="B36" s="67" t="s">
        <v>96</v>
      </c>
      <c r="C36" s="14" t="s">
        <v>15</v>
      </c>
      <c r="D36" s="15">
        <v>0.304</v>
      </c>
      <c r="E36" s="21">
        <v>50000</v>
      </c>
      <c r="F36" s="22"/>
      <c r="G36" s="12" t="s">
        <v>9</v>
      </c>
      <c r="H36" s="36">
        <v>18</v>
      </c>
      <c r="I36" s="14" t="s">
        <v>0</v>
      </c>
      <c r="J36" s="15">
        <f>1.02+0.526-0.02</f>
        <v>1.526</v>
      </c>
      <c r="K36" s="21">
        <v>50000</v>
      </c>
      <c r="L36" s="22"/>
      <c r="M36" s="12" t="s">
        <v>10</v>
      </c>
      <c r="N36" s="107">
        <v>12</v>
      </c>
      <c r="O36" s="14" t="s">
        <v>17</v>
      </c>
      <c r="P36" s="15">
        <f>2.964+0.804+1.12-1.128-0.5-0.18</f>
        <v>3.0799999999999996</v>
      </c>
      <c r="Q36" s="21">
        <v>65000</v>
      </c>
      <c r="R36" s="22"/>
      <c r="S36" s="12" t="s">
        <v>9</v>
      </c>
      <c r="T36" s="120">
        <v>30</v>
      </c>
      <c r="U36" s="14" t="s">
        <v>150</v>
      </c>
      <c r="V36" s="15">
        <f>0.022+0.108</f>
        <v>0.13</v>
      </c>
      <c r="W36" s="21">
        <v>120000</v>
      </c>
      <c r="X36" s="22"/>
    </row>
    <row r="37" spans="1:24" ht="11.25" customHeight="1">
      <c r="A37" s="12" t="s">
        <v>9</v>
      </c>
      <c r="B37" s="66">
        <v>8.8</v>
      </c>
      <c r="C37" s="14" t="s">
        <v>1</v>
      </c>
      <c r="D37" s="15">
        <f>1.322-0.304-0.4</f>
        <v>0.618</v>
      </c>
      <c r="E37" s="21">
        <v>50000</v>
      </c>
      <c r="F37" s="22"/>
      <c r="G37" s="12" t="s">
        <v>9</v>
      </c>
      <c r="H37" s="71">
        <v>18</v>
      </c>
      <c r="I37" s="14" t="s">
        <v>1</v>
      </c>
      <c r="J37" s="15">
        <f>0.306+0.196-0.22</f>
        <v>0.28200000000000003</v>
      </c>
      <c r="K37" s="21">
        <v>50000</v>
      </c>
      <c r="L37" s="22"/>
      <c r="M37" s="12" t="s">
        <v>10</v>
      </c>
      <c r="N37" s="74">
        <v>12.7</v>
      </c>
      <c r="O37" s="14" t="s">
        <v>15</v>
      </c>
      <c r="P37" s="15">
        <v>1.1</v>
      </c>
      <c r="Q37" s="21">
        <v>60000</v>
      </c>
      <c r="R37" s="22"/>
      <c r="S37" s="12" t="s">
        <v>9</v>
      </c>
      <c r="T37" s="36">
        <v>35</v>
      </c>
      <c r="U37" s="14" t="s">
        <v>74</v>
      </c>
      <c r="V37" s="15">
        <f>0.3-0.008-0.024</f>
        <v>0.26799999999999996</v>
      </c>
      <c r="W37" s="21">
        <v>60000</v>
      </c>
      <c r="X37" s="22"/>
    </row>
    <row r="38" spans="1:24" ht="11.25" customHeight="1">
      <c r="A38" s="12" t="s">
        <v>9</v>
      </c>
      <c r="B38" s="67">
        <v>9.2</v>
      </c>
      <c r="C38" s="14" t="s">
        <v>3</v>
      </c>
      <c r="D38" s="15">
        <f>0.312-0.18-0.086</f>
        <v>0.04600000000000001</v>
      </c>
      <c r="E38" s="21">
        <v>50000</v>
      </c>
      <c r="F38" s="22"/>
      <c r="G38" s="12" t="s">
        <v>9</v>
      </c>
      <c r="H38" s="51">
        <v>18</v>
      </c>
      <c r="I38" s="14" t="s">
        <v>4</v>
      </c>
      <c r="J38" s="15">
        <f>0.19+0.098-0.108-0.016-0.14</f>
        <v>0.02400000000000002</v>
      </c>
      <c r="K38" s="21">
        <v>50000</v>
      </c>
      <c r="L38" s="22"/>
      <c r="M38" s="12" t="s">
        <v>10</v>
      </c>
      <c r="N38" s="51">
        <v>13</v>
      </c>
      <c r="O38" s="14" t="s">
        <v>2</v>
      </c>
      <c r="P38" s="15">
        <f>0.806-0.023-0.044+1.566+1.42-0.25-0.1-0.2</f>
        <v>3.175</v>
      </c>
      <c r="Q38" s="21">
        <v>50000</v>
      </c>
      <c r="R38" s="22"/>
      <c r="S38" s="12" t="s">
        <v>9</v>
      </c>
      <c r="T38" s="36">
        <v>40</v>
      </c>
      <c r="U38" s="14" t="s">
        <v>130</v>
      </c>
      <c r="V38" s="15">
        <f>1.48-0.04-0.03-0.138-0.06</f>
        <v>1.2119999999999997</v>
      </c>
      <c r="W38" s="21">
        <v>120000</v>
      </c>
      <c r="X38" s="22"/>
    </row>
    <row r="39" spans="1:24" ht="11.25" customHeight="1">
      <c r="A39" s="12" t="s">
        <v>9</v>
      </c>
      <c r="B39" s="78" t="s">
        <v>111</v>
      </c>
      <c r="C39" s="14" t="s">
        <v>3</v>
      </c>
      <c r="D39" s="15">
        <f>3.21+0.55-0.05-0.046-0.328-0.13-0.27-0.262+0.262-0.262</f>
        <v>2.6740000000000004</v>
      </c>
      <c r="E39" s="21">
        <v>50000</v>
      </c>
      <c r="F39" s="22"/>
      <c r="G39" s="12" t="s">
        <v>9</v>
      </c>
      <c r="H39" s="35">
        <v>18.5</v>
      </c>
      <c r="I39" s="14" t="s">
        <v>4</v>
      </c>
      <c r="J39" s="15">
        <f>0.25-0.102-0.126</f>
        <v>0.02200000000000002</v>
      </c>
      <c r="K39" s="21">
        <v>50000</v>
      </c>
      <c r="L39" s="22"/>
      <c r="M39" s="12" t="s">
        <v>10</v>
      </c>
      <c r="N39" s="35">
        <v>13</v>
      </c>
      <c r="O39" s="14" t="s">
        <v>1</v>
      </c>
      <c r="P39" s="15">
        <v>0.04</v>
      </c>
      <c r="Q39" s="21">
        <v>40000</v>
      </c>
      <c r="R39" s="22"/>
      <c r="S39" s="12" t="s">
        <v>9</v>
      </c>
      <c r="T39" s="36">
        <v>40</v>
      </c>
      <c r="U39" s="14" t="s">
        <v>150</v>
      </c>
      <c r="V39" s="15">
        <v>0.028</v>
      </c>
      <c r="W39" s="21">
        <v>100000</v>
      </c>
      <c r="X39" s="22"/>
    </row>
    <row r="40" spans="1:24" ht="11.25" customHeight="1">
      <c r="A40" s="12" t="s">
        <v>9</v>
      </c>
      <c r="B40" s="89">
        <v>9.5</v>
      </c>
      <c r="C40" s="14" t="s">
        <v>2</v>
      </c>
      <c r="D40" s="15">
        <v>0.78</v>
      </c>
      <c r="E40" s="21">
        <v>50000</v>
      </c>
      <c r="F40" s="22"/>
      <c r="G40" s="12" t="s">
        <v>9</v>
      </c>
      <c r="H40" s="71">
        <v>19</v>
      </c>
      <c r="I40" s="14" t="s">
        <v>15</v>
      </c>
      <c r="J40" s="15">
        <f>0.162-0.032</f>
        <v>0.13</v>
      </c>
      <c r="K40" s="21">
        <v>50000</v>
      </c>
      <c r="L40" s="22"/>
      <c r="M40" s="12" t="s">
        <v>10</v>
      </c>
      <c r="N40" s="107">
        <v>13</v>
      </c>
      <c r="O40" s="14" t="s">
        <v>143</v>
      </c>
      <c r="P40" s="15">
        <v>1.944</v>
      </c>
      <c r="Q40" s="21">
        <v>65000</v>
      </c>
      <c r="R40" s="22"/>
      <c r="S40" s="12" t="s">
        <v>9</v>
      </c>
      <c r="T40" s="36">
        <v>40</v>
      </c>
      <c r="U40" s="14" t="s">
        <v>153</v>
      </c>
      <c r="V40" s="15">
        <f>0.098-0.03</f>
        <v>0.068</v>
      </c>
      <c r="W40" s="21">
        <v>120000</v>
      </c>
      <c r="X40" s="22"/>
    </row>
    <row r="41" spans="1:24" ht="11.25" customHeight="1">
      <c r="A41" s="12" t="s">
        <v>9</v>
      </c>
      <c r="B41" s="36">
        <v>10</v>
      </c>
      <c r="C41" s="14" t="s">
        <v>138</v>
      </c>
      <c r="D41" s="15">
        <v>0.04</v>
      </c>
      <c r="E41" s="21">
        <v>50000</v>
      </c>
      <c r="F41" s="22"/>
      <c r="G41" s="12" t="s">
        <v>9</v>
      </c>
      <c r="H41" s="98">
        <v>20</v>
      </c>
      <c r="I41" s="14" t="s">
        <v>0</v>
      </c>
      <c r="J41" s="15">
        <f>1.98+0.8-1.98</f>
        <v>0.8000000000000003</v>
      </c>
      <c r="K41" s="21">
        <v>50000</v>
      </c>
      <c r="L41" s="22"/>
      <c r="M41" s="12" t="s">
        <v>10</v>
      </c>
      <c r="N41" s="35">
        <v>13</v>
      </c>
      <c r="O41" s="14" t="s">
        <v>3</v>
      </c>
      <c r="P41" s="15">
        <v>0.32</v>
      </c>
      <c r="Q41" s="21">
        <v>50000</v>
      </c>
      <c r="R41" s="22"/>
      <c r="S41" s="12" t="s">
        <v>9</v>
      </c>
      <c r="T41" s="36">
        <v>45</v>
      </c>
      <c r="U41" s="14" t="s">
        <v>129</v>
      </c>
      <c r="V41" s="15">
        <v>1.6</v>
      </c>
      <c r="W41" s="21">
        <v>36000</v>
      </c>
      <c r="X41" s="22"/>
    </row>
    <row r="42" spans="1:24" ht="11.25" customHeight="1">
      <c r="A42" s="12" t="s">
        <v>9</v>
      </c>
      <c r="B42" s="67">
        <v>10</v>
      </c>
      <c r="C42" s="14" t="s">
        <v>4</v>
      </c>
      <c r="D42" s="15">
        <f>0.47+0.7+0.288+0.278-0.5-0.032-0.45-0.026-0.006+0.87+0.21</f>
        <v>1.802</v>
      </c>
      <c r="E42" s="21">
        <v>50000</v>
      </c>
      <c r="F42" s="22"/>
      <c r="G42" s="12" t="s">
        <v>9</v>
      </c>
      <c r="H42" s="102">
        <v>21</v>
      </c>
      <c r="I42" s="14" t="s">
        <v>1</v>
      </c>
      <c r="J42" s="15">
        <f>0.06-0.026</f>
        <v>0.034</v>
      </c>
      <c r="K42" s="21">
        <v>50000</v>
      </c>
      <c r="L42" s="22"/>
      <c r="M42" s="12" t="s">
        <v>10</v>
      </c>
      <c r="N42" s="35">
        <v>13</v>
      </c>
      <c r="O42" s="14"/>
      <c r="P42" s="15">
        <v>0.09</v>
      </c>
      <c r="Q42" s="21">
        <v>50000</v>
      </c>
      <c r="R42" s="22"/>
      <c r="S42" s="12" t="s">
        <v>9</v>
      </c>
      <c r="T42" s="63">
        <v>50</v>
      </c>
      <c r="U42" s="14" t="s">
        <v>91</v>
      </c>
      <c r="V42" s="15">
        <v>0.4</v>
      </c>
      <c r="W42" s="21">
        <v>60000</v>
      </c>
      <c r="X42" s="22"/>
    </row>
    <row r="43" spans="1:24" ht="11.25" customHeight="1">
      <c r="A43" s="12" t="s">
        <v>9</v>
      </c>
      <c r="B43" s="51">
        <v>10</v>
      </c>
      <c r="C43" s="14" t="s">
        <v>2</v>
      </c>
      <c r="D43" s="15">
        <f>0.03+0.1-0.102+0.6-0.008-0.3+0.7-0.002</f>
        <v>1.018</v>
      </c>
      <c r="E43" s="21">
        <v>50000</v>
      </c>
      <c r="F43" s="22"/>
      <c r="G43" s="12" t="s">
        <v>9</v>
      </c>
      <c r="H43" s="105">
        <v>21</v>
      </c>
      <c r="I43" s="14" t="s">
        <v>0</v>
      </c>
      <c r="J43" s="15">
        <v>2.46</v>
      </c>
      <c r="K43" s="21">
        <v>50000</v>
      </c>
      <c r="L43" s="22"/>
      <c r="M43" s="12" t="s">
        <v>10</v>
      </c>
      <c r="N43" s="35">
        <v>13</v>
      </c>
      <c r="O43" s="14" t="s">
        <v>4</v>
      </c>
      <c r="P43" s="15">
        <f>1.38+1.57</f>
        <v>2.95</v>
      </c>
      <c r="Q43" s="21">
        <v>50000</v>
      </c>
      <c r="R43" s="22"/>
      <c r="S43" s="12" t="s">
        <v>9</v>
      </c>
      <c r="T43" s="63">
        <v>50</v>
      </c>
      <c r="U43" s="14" t="s">
        <v>74</v>
      </c>
      <c r="V43" s="15">
        <f>0.32-0.056-0.015-0.014</f>
        <v>0.235</v>
      </c>
      <c r="W43" s="21">
        <v>60000</v>
      </c>
      <c r="X43" s="22"/>
    </row>
    <row r="44" spans="1:24" ht="11.25" customHeight="1">
      <c r="A44" s="12" t="s">
        <v>9</v>
      </c>
      <c r="B44" s="35">
        <v>10</v>
      </c>
      <c r="C44" s="14" t="s">
        <v>57</v>
      </c>
      <c r="D44" s="15">
        <f>1.14-0.926-0.005-0.034</f>
        <v>0.17499999999999985</v>
      </c>
      <c r="E44" s="21">
        <v>50000</v>
      </c>
      <c r="F44" s="22"/>
      <c r="G44" s="12" t="s">
        <v>9</v>
      </c>
      <c r="H44" s="36">
        <v>21</v>
      </c>
      <c r="I44" s="14" t="s">
        <v>15</v>
      </c>
      <c r="J44" s="15">
        <f>17.474+12.96-3.062+19.93-2.008-0.322-0.03-4.364+3.486-0.25-0.35-0.1-1-1.5-0.302-0.87-0.3-0.3-1.47-2.03-1.56-4-1.092-1.68-1.51-1.992-2.004-3.05-6-1.86-1.1-0.984-3-1.95</f>
        <v>3.8099999999999943</v>
      </c>
      <c r="K44" s="21">
        <v>50000</v>
      </c>
      <c r="L44" s="22"/>
      <c r="M44" s="12" t="s">
        <v>10</v>
      </c>
      <c r="N44" s="74">
        <v>13</v>
      </c>
      <c r="O44" s="14" t="s">
        <v>87</v>
      </c>
      <c r="P44" s="15">
        <v>1.04</v>
      </c>
      <c r="Q44" s="21">
        <v>50000</v>
      </c>
      <c r="R44" s="22"/>
      <c r="S44" s="12" t="s">
        <v>9</v>
      </c>
      <c r="T44" s="64">
        <v>50</v>
      </c>
      <c r="U44" s="16" t="s">
        <v>76</v>
      </c>
      <c r="V44" s="15">
        <v>0.086</v>
      </c>
      <c r="W44" s="21">
        <v>30000</v>
      </c>
      <c r="X44" s="22"/>
    </row>
    <row r="45" spans="1:24" ht="11.25" customHeight="1">
      <c r="A45" s="12" t="s">
        <v>9</v>
      </c>
      <c r="B45" s="102">
        <v>10</v>
      </c>
      <c r="C45" s="14" t="s">
        <v>17</v>
      </c>
      <c r="D45" s="15">
        <v>0.54</v>
      </c>
      <c r="E45" s="21">
        <v>50000</v>
      </c>
      <c r="F45" s="22"/>
      <c r="G45" s="12" t="s">
        <v>9</v>
      </c>
      <c r="H45" s="36">
        <v>21</v>
      </c>
      <c r="I45" s="14" t="s">
        <v>15</v>
      </c>
      <c r="J45" s="15">
        <v>0.828</v>
      </c>
      <c r="K45" s="21">
        <v>50000</v>
      </c>
      <c r="L45" s="22"/>
      <c r="M45" s="12" t="s">
        <v>10</v>
      </c>
      <c r="N45" s="35">
        <v>14</v>
      </c>
      <c r="O45" s="14"/>
      <c r="P45" s="15">
        <v>0.07</v>
      </c>
      <c r="Q45" s="21">
        <v>50000</v>
      </c>
      <c r="R45" s="22"/>
      <c r="S45" s="12" t="s">
        <v>9</v>
      </c>
      <c r="T45" s="64">
        <v>60</v>
      </c>
      <c r="U45" s="16" t="s">
        <v>73</v>
      </c>
      <c r="V45" s="15">
        <f>0.33-0.11-0.022-0.134</f>
        <v>0.06400000000000003</v>
      </c>
      <c r="W45" s="21">
        <v>30000</v>
      </c>
      <c r="X45" s="22"/>
    </row>
    <row r="46" spans="1:24" ht="11.25" customHeight="1">
      <c r="A46" s="12" t="s">
        <v>9</v>
      </c>
      <c r="B46" s="51">
        <v>12</v>
      </c>
      <c r="C46" s="14" t="s">
        <v>3</v>
      </c>
      <c r="D46" s="15">
        <v>0.138</v>
      </c>
      <c r="E46" s="21">
        <v>50000</v>
      </c>
      <c r="F46" s="22"/>
      <c r="G46" s="12"/>
      <c r="H46" s="36"/>
      <c r="I46" s="14"/>
      <c r="J46" s="15"/>
      <c r="K46" s="21"/>
      <c r="L46" s="22"/>
      <c r="M46" s="12" t="s">
        <v>10</v>
      </c>
      <c r="N46" s="120">
        <v>14</v>
      </c>
      <c r="O46" s="14" t="s">
        <v>2</v>
      </c>
      <c r="P46" s="15">
        <f>0.096+0.626-0.2</f>
        <v>0.522</v>
      </c>
      <c r="Q46" s="21">
        <v>50000</v>
      </c>
      <c r="R46" s="22"/>
      <c r="S46" s="12" t="s">
        <v>9</v>
      </c>
      <c r="T46" s="84">
        <v>60</v>
      </c>
      <c r="U46" s="16" t="s">
        <v>76</v>
      </c>
      <c r="V46" s="15">
        <v>0.064</v>
      </c>
      <c r="W46" s="21">
        <v>60000</v>
      </c>
      <c r="X46" s="22"/>
    </row>
    <row r="47" spans="1:24" ht="11.25" customHeight="1">
      <c r="A47" s="12" t="s">
        <v>9</v>
      </c>
      <c r="B47" s="89">
        <v>12</v>
      </c>
      <c r="C47" s="14" t="s">
        <v>2</v>
      </c>
      <c r="D47" s="15">
        <f>1.93-0.022-0.16</f>
        <v>1.748</v>
      </c>
      <c r="E47" s="21">
        <v>50000</v>
      </c>
      <c r="F47" s="22"/>
      <c r="G47" s="12" t="s">
        <v>9</v>
      </c>
      <c r="H47" s="36">
        <v>22</v>
      </c>
      <c r="I47" s="14" t="s">
        <v>3</v>
      </c>
      <c r="J47" s="15">
        <v>0.05</v>
      </c>
      <c r="K47" s="21">
        <v>50000</v>
      </c>
      <c r="L47" s="22"/>
      <c r="M47" s="12" t="s">
        <v>10</v>
      </c>
      <c r="N47" s="120">
        <v>14</v>
      </c>
      <c r="O47" s="14" t="s">
        <v>1</v>
      </c>
      <c r="P47" s="15">
        <v>0.79</v>
      </c>
      <c r="Q47" s="21">
        <v>50000</v>
      </c>
      <c r="R47" s="22"/>
      <c r="S47" s="12" t="s">
        <v>9</v>
      </c>
      <c r="T47" s="36">
        <v>65</v>
      </c>
      <c r="U47" s="14" t="s">
        <v>91</v>
      </c>
      <c r="V47" s="15">
        <v>0.45</v>
      </c>
      <c r="W47" s="21">
        <v>60000</v>
      </c>
      <c r="X47" s="22"/>
    </row>
    <row r="48" spans="1:24" ht="11.25" customHeight="1">
      <c r="A48" s="12" t="s">
        <v>9</v>
      </c>
      <c r="B48" s="89">
        <v>12</v>
      </c>
      <c r="C48" s="14"/>
      <c r="D48" s="15">
        <v>0.17</v>
      </c>
      <c r="E48" s="21">
        <v>50000</v>
      </c>
      <c r="F48" s="22"/>
      <c r="G48" s="12" t="s">
        <v>9</v>
      </c>
      <c r="H48" s="36">
        <v>22</v>
      </c>
      <c r="I48" s="14" t="s">
        <v>4</v>
      </c>
      <c r="J48" s="15">
        <f>2.05+2.05-1.022-0.516</f>
        <v>2.5619999999999994</v>
      </c>
      <c r="K48" s="21">
        <v>50000</v>
      </c>
      <c r="L48" s="22"/>
      <c r="M48" s="12" t="s">
        <v>10</v>
      </c>
      <c r="N48" s="120">
        <v>16</v>
      </c>
      <c r="O48" s="14" t="s">
        <v>3</v>
      </c>
      <c r="P48" s="15">
        <f>0.506-0.007</f>
        <v>0.499</v>
      </c>
      <c r="Q48" s="21">
        <v>50000</v>
      </c>
      <c r="R48" s="22"/>
      <c r="S48" s="12" t="s">
        <v>9</v>
      </c>
      <c r="T48" s="36">
        <v>70</v>
      </c>
      <c r="U48" s="14" t="s">
        <v>128</v>
      </c>
      <c r="V48" s="15">
        <v>0.496</v>
      </c>
      <c r="W48" s="21">
        <v>140000</v>
      </c>
      <c r="X48" s="22"/>
    </row>
    <row r="49" spans="1:24" ht="11.25" customHeight="1">
      <c r="A49" s="12" t="s">
        <v>9</v>
      </c>
      <c r="B49" s="69">
        <v>12</v>
      </c>
      <c r="C49" s="14" t="s">
        <v>3</v>
      </c>
      <c r="D49" s="15">
        <f>0.34-0.006-0.06</f>
        <v>0.274</v>
      </c>
      <c r="E49" s="21">
        <v>50000</v>
      </c>
      <c r="F49" s="22"/>
      <c r="G49" s="12"/>
      <c r="H49" s="36"/>
      <c r="I49" s="14"/>
      <c r="J49" s="15"/>
      <c r="K49" s="21"/>
      <c r="L49" s="22"/>
      <c r="M49" s="12" t="s">
        <v>10</v>
      </c>
      <c r="N49" s="120">
        <v>17</v>
      </c>
      <c r="O49" s="14" t="s">
        <v>46</v>
      </c>
      <c r="P49" s="15">
        <f>0.45-0.24-0.009-0.07</f>
        <v>0.131</v>
      </c>
      <c r="Q49" s="21">
        <v>50000</v>
      </c>
      <c r="R49" s="22"/>
      <c r="S49" s="12" t="s">
        <v>9</v>
      </c>
      <c r="T49" s="36">
        <v>75</v>
      </c>
      <c r="U49" s="14" t="s">
        <v>152</v>
      </c>
      <c r="V49" s="15">
        <f>0.286-0.094</f>
        <v>0.19199999999999998</v>
      </c>
      <c r="W49" s="21">
        <v>120000</v>
      </c>
      <c r="X49" s="22"/>
    </row>
    <row r="50" spans="1:24" ht="11.25" customHeight="1">
      <c r="A50" s="12" t="s">
        <v>9</v>
      </c>
      <c r="B50" s="36">
        <v>12</v>
      </c>
      <c r="C50" s="14" t="s">
        <v>93</v>
      </c>
      <c r="D50" s="15">
        <f>1.43-0.007-0.06-0.032-0.086-0.004-0.3-0.15</f>
        <v>0.7909999999999998</v>
      </c>
      <c r="E50" s="21">
        <v>50000</v>
      </c>
      <c r="F50" s="22"/>
      <c r="G50" s="12" t="s">
        <v>9</v>
      </c>
      <c r="H50" s="36">
        <v>24</v>
      </c>
      <c r="I50" s="14" t="s">
        <v>17</v>
      </c>
      <c r="J50" s="15">
        <f>2.746-0.53-1.234</f>
        <v>0.9820000000000002</v>
      </c>
      <c r="K50" s="21">
        <v>65000</v>
      </c>
      <c r="L50" s="22"/>
      <c r="M50" s="12" t="s">
        <v>10</v>
      </c>
      <c r="N50" s="120">
        <v>17</v>
      </c>
      <c r="O50" s="14" t="s">
        <v>56</v>
      </c>
      <c r="P50" s="15">
        <f>0.22-0.009</f>
        <v>0.211</v>
      </c>
      <c r="Q50" s="21">
        <v>50000</v>
      </c>
      <c r="R50" s="22"/>
      <c r="S50" s="12" t="s">
        <v>9</v>
      </c>
      <c r="T50" s="36">
        <v>80</v>
      </c>
      <c r="U50" s="16" t="s">
        <v>74</v>
      </c>
      <c r="V50" s="15">
        <f>0.692+0.634-0.206-0.02</f>
        <v>1.1</v>
      </c>
      <c r="W50" s="21">
        <v>60000</v>
      </c>
      <c r="X50" s="22"/>
    </row>
    <row r="51" spans="1:24" ht="11.25" customHeight="1">
      <c r="A51" s="12" t="s">
        <v>9</v>
      </c>
      <c r="B51" s="36">
        <v>12</v>
      </c>
      <c r="C51" s="14" t="s">
        <v>1</v>
      </c>
      <c r="D51" s="15">
        <f>0.12+0.39+0.144</f>
        <v>0.654</v>
      </c>
      <c r="E51" s="21">
        <v>50000</v>
      </c>
      <c r="F51" s="22"/>
      <c r="G51" s="12" t="s">
        <v>9</v>
      </c>
      <c r="H51" s="36">
        <v>25</v>
      </c>
      <c r="I51" s="14" t="s">
        <v>0</v>
      </c>
      <c r="J51" s="15">
        <f>0.188+0.07-0.036</f>
        <v>0.222</v>
      </c>
      <c r="K51" s="21">
        <v>50000</v>
      </c>
      <c r="L51" s="22"/>
      <c r="M51" s="12" t="s">
        <v>10</v>
      </c>
      <c r="N51" s="121">
        <v>17</v>
      </c>
      <c r="O51" s="16"/>
      <c r="P51" s="15">
        <v>0.078</v>
      </c>
      <c r="Q51" s="21">
        <v>50000</v>
      </c>
      <c r="R51" s="22"/>
      <c r="S51" s="12" t="s">
        <v>9</v>
      </c>
      <c r="T51" s="36">
        <v>90</v>
      </c>
      <c r="U51" s="16" t="s">
        <v>147</v>
      </c>
      <c r="V51" s="15">
        <v>0.268</v>
      </c>
      <c r="W51" s="21">
        <v>60000</v>
      </c>
      <c r="X51" s="22"/>
    </row>
    <row r="52" spans="1:24" ht="11.25" customHeight="1">
      <c r="A52" s="12" t="s">
        <v>9</v>
      </c>
      <c r="B52" s="36" t="s">
        <v>41</v>
      </c>
      <c r="C52" s="14" t="s">
        <v>4</v>
      </c>
      <c r="D52" s="15">
        <v>0.79</v>
      </c>
      <c r="E52" s="21">
        <v>50000</v>
      </c>
      <c r="F52" s="22"/>
      <c r="G52" s="12" t="s">
        <v>9</v>
      </c>
      <c r="H52" s="37">
        <v>26</v>
      </c>
      <c r="I52" s="16">
        <v>20</v>
      </c>
      <c r="J52" s="15">
        <v>0.028</v>
      </c>
      <c r="K52" s="21">
        <v>50000</v>
      </c>
      <c r="L52" s="22"/>
      <c r="M52" s="12" t="s">
        <v>10</v>
      </c>
      <c r="N52" s="120">
        <v>17</v>
      </c>
      <c r="O52" s="14" t="s">
        <v>4</v>
      </c>
      <c r="P52" s="15">
        <f>4.16-0.054-0.14-0.187-0.088-0.5-0.009-0.5-1.01</f>
        <v>1.672</v>
      </c>
      <c r="Q52" s="21">
        <v>50000</v>
      </c>
      <c r="R52" s="22"/>
      <c r="S52" s="12" t="s">
        <v>9</v>
      </c>
      <c r="T52" s="36">
        <v>100</v>
      </c>
      <c r="U52" s="16" t="s">
        <v>151</v>
      </c>
      <c r="V52" s="15">
        <v>0.224</v>
      </c>
      <c r="W52" s="21">
        <v>120000</v>
      </c>
      <c r="X52" s="22"/>
    </row>
    <row r="53" spans="1:24" ht="11.25" customHeight="1">
      <c r="A53" s="12" t="s">
        <v>9</v>
      </c>
      <c r="B53" s="36">
        <v>12</v>
      </c>
      <c r="C53" s="14"/>
      <c r="D53" s="15">
        <v>0.06</v>
      </c>
      <c r="E53" s="21">
        <v>50000</v>
      </c>
      <c r="F53" s="22"/>
      <c r="G53" s="12" t="s">
        <v>9</v>
      </c>
      <c r="H53" s="75" t="s">
        <v>108</v>
      </c>
      <c r="I53" s="16">
        <v>20</v>
      </c>
      <c r="J53" s="15">
        <f>2.43-0.08-0.033</f>
        <v>2.317</v>
      </c>
      <c r="K53" s="21">
        <v>50000</v>
      </c>
      <c r="L53" s="22"/>
      <c r="M53" s="12" t="s">
        <v>10</v>
      </c>
      <c r="N53" s="120">
        <v>17</v>
      </c>
      <c r="O53" s="14" t="s">
        <v>17</v>
      </c>
      <c r="P53" s="15">
        <f>2.66+1.284+4.79-1.97-1+7.88-2.186-1.996-4.14-2.112</f>
        <v>3.21</v>
      </c>
      <c r="Q53" s="21">
        <v>65000</v>
      </c>
      <c r="R53" s="22"/>
      <c r="S53" s="12" t="s">
        <v>9</v>
      </c>
      <c r="T53" s="36">
        <v>120</v>
      </c>
      <c r="U53" s="14" t="s">
        <v>79</v>
      </c>
      <c r="V53" s="15">
        <v>0.238</v>
      </c>
      <c r="W53" s="21">
        <v>34000</v>
      </c>
      <c r="X53" s="22"/>
    </row>
    <row r="54" spans="1:24" ht="11.25" customHeight="1">
      <c r="A54" s="12" t="s">
        <v>9</v>
      </c>
      <c r="B54" s="103">
        <v>12</v>
      </c>
      <c r="C54" s="16">
        <v>10</v>
      </c>
      <c r="D54" s="15">
        <f>0.09+0.54-0.1</f>
        <v>0.53</v>
      </c>
      <c r="E54" s="21">
        <v>40000</v>
      </c>
      <c r="F54" s="22"/>
      <c r="G54" s="12" t="s">
        <v>9</v>
      </c>
      <c r="H54" s="107">
        <v>27</v>
      </c>
      <c r="I54" s="14" t="s">
        <v>143</v>
      </c>
      <c r="J54" s="15">
        <v>1.418</v>
      </c>
      <c r="K54" s="21">
        <v>65000</v>
      </c>
      <c r="L54" s="22"/>
      <c r="M54" s="12" t="s">
        <v>10</v>
      </c>
      <c r="N54" s="120">
        <v>19</v>
      </c>
      <c r="O54" s="14" t="s">
        <v>44</v>
      </c>
      <c r="P54" s="15">
        <f>4.42-0.1-0.024-0.024-0.3-0.012</f>
        <v>3.9600000000000004</v>
      </c>
      <c r="Q54" s="21">
        <v>50000</v>
      </c>
      <c r="R54" s="22"/>
      <c r="S54" s="12"/>
      <c r="T54" s="36"/>
      <c r="U54" s="14"/>
      <c r="V54" s="15"/>
      <c r="W54" s="21"/>
      <c r="X54" s="22"/>
    </row>
    <row r="55" spans="1:24" ht="11.25" customHeight="1">
      <c r="A55" s="45"/>
      <c r="B55" s="136" t="s">
        <v>63</v>
      </c>
      <c r="C55" s="136"/>
      <c r="D55" s="136"/>
      <c r="E55" s="136"/>
      <c r="F55" s="22"/>
      <c r="G55" s="136" t="s">
        <v>64</v>
      </c>
      <c r="H55" s="136"/>
      <c r="I55" s="136"/>
      <c r="J55" s="136"/>
      <c r="K55" s="136"/>
      <c r="L55" s="22"/>
      <c r="M55" s="138"/>
      <c r="N55" s="136"/>
      <c r="O55" s="136"/>
      <c r="P55" s="136"/>
      <c r="Q55" s="139"/>
      <c r="R55" s="22"/>
      <c r="S55" s="46"/>
      <c r="T55" s="46"/>
      <c r="U55" s="46"/>
      <c r="V55" s="46"/>
      <c r="W55" s="47"/>
      <c r="X55" s="22"/>
    </row>
    <row r="56" spans="1:24" ht="11.25" customHeight="1">
      <c r="A56" s="134"/>
      <c r="B56" s="127" t="s">
        <v>11</v>
      </c>
      <c r="C56" s="128" t="s">
        <v>7</v>
      </c>
      <c r="D56" s="128" t="s">
        <v>6</v>
      </c>
      <c r="E56" s="125" t="s">
        <v>29</v>
      </c>
      <c r="F56" s="22"/>
      <c r="G56" s="126"/>
      <c r="H56" s="127" t="s">
        <v>11</v>
      </c>
      <c r="I56" s="128" t="s">
        <v>7</v>
      </c>
      <c r="J56" s="128" t="s">
        <v>6</v>
      </c>
      <c r="K56" s="125" t="s">
        <v>29</v>
      </c>
      <c r="L56" s="22"/>
      <c r="M56" s="126"/>
      <c r="N56" s="127" t="s">
        <v>11</v>
      </c>
      <c r="O56" s="128" t="s">
        <v>7</v>
      </c>
      <c r="P56" s="128" t="s">
        <v>6</v>
      </c>
      <c r="Q56" s="125" t="s">
        <v>29</v>
      </c>
      <c r="R56" s="22"/>
      <c r="S56" s="126"/>
      <c r="T56" s="125" t="s">
        <v>11</v>
      </c>
      <c r="U56" s="128" t="s">
        <v>7</v>
      </c>
      <c r="V56" s="128" t="s">
        <v>6</v>
      </c>
      <c r="W56" s="125" t="s">
        <v>29</v>
      </c>
      <c r="X56" s="22"/>
    </row>
    <row r="57" spans="1:24" ht="11.25" customHeight="1">
      <c r="A57" s="134"/>
      <c r="B57" s="127"/>
      <c r="C57" s="128"/>
      <c r="D57" s="128"/>
      <c r="E57" s="125"/>
      <c r="F57" s="22"/>
      <c r="G57" s="126"/>
      <c r="H57" s="127"/>
      <c r="I57" s="128"/>
      <c r="J57" s="128"/>
      <c r="K57" s="125"/>
      <c r="L57" s="22"/>
      <c r="M57" s="126"/>
      <c r="N57" s="127"/>
      <c r="O57" s="128"/>
      <c r="P57" s="128"/>
      <c r="Q57" s="125"/>
      <c r="R57" s="22"/>
      <c r="S57" s="126"/>
      <c r="T57" s="125"/>
      <c r="U57" s="128"/>
      <c r="V57" s="128"/>
      <c r="W57" s="125"/>
      <c r="X57" s="22"/>
    </row>
    <row r="58" spans="1:24" ht="11.25" customHeight="1">
      <c r="A58" s="135" t="s">
        <v>31</v>
      </c>
      <c r="B58" s="135"/>
      <c r="C58" s="135"/>
      <c r="D58" s="135"/>
      <c r="E58" s="135"/>
      <c r="F58" s="22"/>
      <c r="G58" s="135" t="s">
        <v>31</v>
      </c>
      <c r="H58" s="135"/>
      <c r="I58" s="135"/>
      <c r="J58" s="135"/>
      <c r="K58" s="135"/>
      <c r="L58" s="22"/>
      <c r="M58" s="135" t="s">
        <v>31</v>
      </c>
      <c r="N58" s="135"/>
      <c r="O58" s="135"/>
      <c r="P58" s="135"/>
      <c r="Q58" s="135"/>
      <c r="R58" s="22"/>
      <c r="S58" s="144" t="s">
        <v>60</v>
      </c>
      <c r="T58" s="145"/>
      <c r="U58" s="145"/>
      <c r="V58" s="145"/>
      <c r="W58" s="146"/>
      <c r="X58" s="22"/>
    </row>
    <row r="59" spans="1:24" ht="11.25" customHeight="1">
      <c r="A59" s="12" t="s">
        <v>9</v>
      </c>
      <c r="B59" s="43">
        <v>8</v>
      </c>
      <c r="C59" s="14" t="s">
        <v>70</v>
      </c>
      <c r="D59" s="15">
        <f>0.48-0.032-0.048-0.006-0.024</f>
        <v>0.36999999999999994</v>
      </c>
      <c r="E59" s="21">
        <v>32000</v>
      </c>
      <c r="F59" s="22"/>
      <c r="G59" s="12" t="s">
        <v>9</v>
      </c>
      <c r="H59" s="52" t="s">
        <v>135</v>
      </c>
      <c r="I59" s="14" t="s">
        <v>0</v>
      </c>
      <c r="J59" s="15">
        <v>3.4</v>
      </c>
      <c r="K59" s="21">
        <v>36000</v>
      </c>
      <c r="L59" s="22"/>
      <c r="M59" s="12" t="s">
        <v>9</v>
      </c>
      <c r="N59" s="52">
        <v>80</v>
      </c>
      <c r="O59" s="14" t="s">
        <v>120</v>
      </c>
      <c r="P59" s="15">
        <v>0.36</v>
      </c>
      <c r="Q59" s="21">
        <v>36000</v>
      </c>
      <c r="R59" s="22"/>
      <c r="S59" s="12"/>
      <c r="T59" s="101"/>
      <c r="U59" s="16"/>
      <c r="V59" s="15"/>
      <c r="W59" s="21"/>
      <c r="X59" s="22"/>
    </row>
    <row r="60" spans="1:24" ht="11.25" customHeight="1">
      <c r="A60" s="12" t="s">
        <v>9</v>
      </c>
      <c r="B60" s="43" t="s">
        <v>111</v>
      </c>
      <c r="C60" s="14" t="s">
        <v>3</v>
      </c>
      <c r="D60" s="15">
        <v>1.33</v>
      </c>
      <c r="E60" s="21">
        <v>32000</v>
      </c>
      <c r="F60" s="22"/>
      <c r="G60" s="12" t="s">
        <v>9</v>
      </c>
      <c r="H60" s="38">
        <v>22</v>
      </c>
      <c r="I60" s="14" t="s">
        <v>43</v>
      </c>
      <c r="J60" s="15">
        <f>0.194-0.015-0.015-0.015</f>
        <v>0.14899999999999997</v>
      </c>
      <c r="K60" s="21">
        <v>36000</v>
      </c>
      <c r="L60" s="22"/>
      <c r="M60" s="12" t="s">
        <v>9</v>
      </c>
      <c r="N60" s="52">
        <v>80</v>
      </c>
      <c r="O60" s="16">
        <v>45</v>
      </c>
      <c r="P60" s="15">
        <f>0.6-0.198</f>
        <v>0.40199999999999997</v>
      </c>
      <c r="Q60" s="21">
        <v>36000</v>
      </c>
      <c r="R60" s="22"/>
      <c r="S60" s="12" t="s">
        <v>10</v>
      </c>
      <c r="T60" s="39" t="s">
        <v>83</v>
      </c>
      <c r="U60" s="14"/>
      <c r="V60" s="15">
        <f>0.15-0.04-0.02</f>
        <v>0.08999999999999998</v>
      </c>
      <c r="W60" s="21">
        <v>40000</v>
      </c>
      <c r="X60" s="22"/>
    </row>
    <row r="61" spans="1:24" ht="11.25" customHeight="1">
      <c r="A61" s="12" t="s">
        <v>9</v>
      </c>
      <c r="B61" s="38" t="s">
        <v>42</v>
      </c>
      <c r="C61" s="14" t="s">
        <v>0</v>
      </c>
      <c r="D61" s="15">
        <f>1.95-0.124-0.05-0.032-0.075-0.03-0.036-0.04-0.037-0.08-0.019-0.112-0.016-0.037-0.015-0.035-0.036-0.088-0.107-0.072-0.056-0.092-0.1-0.111-0.031-0.031-0.112-0.062</f>
        <v>0.3140000000000001</v>
      </c>
      <c r="E61" s="21">
        <v>32000</v>
      </c>
      <c r="F61" s="22"/>
      <c r="G61" s="12" t="s">
        <v>9</v>
      </c>
      <c r="H61" s="52" t="s">
        <v>85</v>
      </c>
      <c r="I61" s="14" t="s">
        <v>0</v>
      </c>
      <c r="J61" s="15">
        <f>36.93-0.08-0.04-0.196-0.156-5.01-1-0.08-0.13-0.04-0.1-0.06-0.079-0.02-0.04-1-0.036-0.098-0.098</f>
        <v>28.667000000000012</v>
      </c>
      <c r="K61" s="21">
        <v>34000</v>
      </c>
      <c r="L61" s="22"/>
      <c r="M61" s="12"/>
      <c r="N61" s="118"/>
      <c r="O61" s="16"/>
      <c r="P61" s="15"/>
      <c r="Q61" s="21"/>
      <c r="R61" s="22"/>
      <c r="S61" s="12" t="s">
        <v>10</v>
      </c>
      <c r="T61" s="38">
        <v>40</v>
      </c>
      <c r="U61" s="14" t="s">
        <v>3</v>
      </c>
      <c r="V61" s="15">
        <v>0.426</v>
      </c>
      <c r="W61" s="21">
        <v>40000</v>
      </c>
      <c r="X61" s="22"/>
    </row>
    <row r="62" spans="1:24" ht="11.25" customHeight="1">
      <c r="A62" s="12" t="s">
        <v>9</v>
      </c>
      <c r="B62" s="38">
        <v>10</v>
      </c>
      <c r="C62" s="14" t="s">
        <v>13</v>
      </c>
      <c r="D62" s="15">
        <f>2.366-0.018-0.03-0.05-0.03-0.028-0.01-0.016-0.014-0.032-0.012-0.004-0.008-0.032-0.022+0.72-0.1-0.1-0.05-0.016-0.008-0.014</f>
        <v>2.4920000000000013</v>
      </c>
      <c r="E62" s="21">
        <v>36000</v>
      </c>
      <c r="F62" s="22"/>
      <c r="G62" s="12" t="s">
        <v>9</v>
      </c>
      <c r="H62" s="52" t="s">
        <v>89</v>
      </c>
      <c r="I62" s="14" t="s">
        <v>4</v>
      </c>
      <c r="J62" s="15">
        <f>0.94-0.27-0.45</f>
        <v>0.21999999999999992</v>
      </c>
      <c r="K62" s="21">
        <v>36000</v>
      </c>
      <c r="L62" s="22"/>
      <c r="M62" s="12"/>
      <c r="N62" s="52"/>
      <c r="O62" s="14"/>
      <c r="P62" s="15"/>
      <c r="Q62" s="21"/>
      <c r="R62" s="22"/>
      <c r="S62" s="143" t="s">
        <v>68</v>
      </c>
      <c r="T62" s="143"/>
      <c r="U62" s="143"/>
      <c r="V62" s="143"/>
      <c r="W62" s="143"/>
      <c r="X62" s="22"/>
    </row>
    <row r="63" spans="1:24" ht="11.25" customHeight="1">
      <c r="A63" s="12" t="s">
        <v>9</v>
      </c>
      <c r="B63" s="52">
        <v>10</v>
      </c>
      <c r="C63" s="14" t="s">
        <v>70</v>
      </c>
      <c r="D63" s="15">
        <f>2.51-0.776-0.06-0.052-0.014-0.32-0.036</f>
        <v>1.2519999999999996</v>
      </c>
      <c r="E63" s="21">
        <v>32000</v>
      </c>
      <c r="F63" s="22"/>
      <c r="G63" s="12" t="s">
        <v>9</v>
      </c>
      <c r="H63" s="52">
        <v>24</v>
      </c>
      <c r="I63" s="14" t="s">
        <v>4</v>
      </c>
      <c r="J63" s="15">
        <f>0.684-0.014-0.018-0.092+0.094-0.018-0.084</f>
        <v>0.552</v>
      </c>
      <c r="K63" s="21">
        <v>36000</v>
      </c>
      <c r="L63" s="22"/>
      <c r="M63" s="12" t="s">
        <v>9</v>
      </c>
      <c r="N63" s="106">
        <v>90</v>
      </c>
      <c r="O63" s="16" t="s">
        <v>142</v>
      </c>
      <c r="P63" s="15">
        <v>0.2</v>
      </c>
      <c r="Q63" s="21">
        <v>36000</v>
      </c>
      <c r="R63" s="22"/>
      <c r="S63" s="12" t="s">
        <v>9</v>
      </c>
      <c r="T63" s="44" t="s">
        <v>67</v>
      </c>
      <c r="U63" s="16" t="s">
        <v>40</v>
      </c>
      <c r="V63" s="15">
        <v>2.18</v>
      </c>
      <c r="W63" s="21"/>
      <c r="X63" s="22"/>
    </row>
    <row r="64" spans="1:24" ht="11.25" customHeight="1">
      <c r="A64" s="12" t="s">
        <v>9</v>
      </c>
      <c r="B64" s="52">
        <v>10</v>
      </c>
      <c r="C64" s="14"/>
      <c r="D64" s="15">
        <f>0.092-0.03</f>
        <v>0.062</v>
      </c>
      <c r="E64" s="21">
        <v>36000</v>
      </c>
      <c r="F64" s="22"/>
      <c r="G64" s="12" t="s">
        <v>9</v>
      </c>
      <c r="H64" s="52">
        <v>24</v>
      </c>
      <c r="I64" s="14" t="s">
        <v>50</v>
      </c>
      <c r="J64" s="15">
        <f>0.21-0.036</f>
        <v>0.174</v>
      </c>
      <c r="K64" s="21">
        <v>36000</v>
      </c>
      <c r="L64" s="22"/>
      <c r="R64" s="22"/>
      <c r="S64" s="12" t="s">
        <v>9</v>
      </c>
      <c r="T64" s="44" t="s">
        <v>98</v>
      </c>
      <c r="U64" s="16" t="s">
        <v>40</v>
      </c>
      <c r="V64" s="15">
        <f>0.106-0.005-0.016-0.003</f>
        <v>0.08199999999999999</v>
      </c>
      <c r="W64" s="21">
        <v>32000</v>
      </c>
      <c r="X64" s="22"/>
    </row>
    <row r="65" spans="1:24" ht="11.25" customHeight="1">
      <c r="A65" s="12" t="s">
        <v>9</v>
      </c>
      <c r="B65" s="52">
        <v>10</v>
      </c>
      <c r="C65" s="14" t="s">
        <v>1</v>
      </c>
      <c r="D65" s="15">
        <f>0.174-0.044-0.004</f>
        <v>0.126</v>
      </c>
      <c r="E65" s="21">
        <v>36000</v>
      </c>
      <c r="F65" s="22"/>
      <c r="G65" s="12"/>
      <c r="H65" s="118"/>
      <c r="I65" s="16"/>
      <c r="J65" s="15"/>
      <c r="K65" s="21"/>
      <c r="L65" s="22"/>
      <c r="M65" s="12"/>
      <c r="N65" s="52"/>
      <c r="O65" s="14"/>
      <c r="P65" s="15"/>
      <c r="Q65" s="21"/>
      <c r="R65" s="22"/>
      <c r="S65" s="140" t="s">
        <v>35</v>
      </c>
      <c r="T65" s="141"/>
      <c r="U65" s="141"/>
      <c r="V65" s="141"/>
      <c r="W65" s="142"/>
      <c r="X65" s="22"/>
    </row>
    <row r="66" spans="1:24" ht="11.25" customHeight="1">
      <c r="A66" s="12" t="s">
        <v>9</v>
      </c>
      <c r="B66" s="38">
        <v>11</v>
      </c>
      <c r="C66" s="14" t="s">
        <v>71</v>
      </c>
      <c r="D66" s="15">
        <f>3.93-0.252-0.5-0.012-0.508-0.033</f>
        <v>2.625</v>
      </c>
      <c r="E66" s="21">
        <v>32000</v>
      </c>
      <c r="F66" s="22"/>
      <c r="G66" s="12"/>
      <c r="H66" s="118"/>
      <c r="I66" s="14"/>
      <c r="J66" s="15"/>
      <c r="K66" s="21"/>
      <c r="L66" s="22"/>
      <c r="M66" s="12"/>
      <c r="N66" s="52"/>
      <c r="O66" s="14"/>
      <c r="P66" s="15"/>
      <c r="Q66" s="21"/>
      <c r="R66" s="22"/>
      <c r="S66" s="12" t="s">
        <v>9</v>
      </c>
      <c r="T66" s="34" t="s">
        <v>36</v>
      </c>
      <c r="U66" s="14"/>
      <c r="V66" s="15">
        <v>1.189</v>
      </c>
      <c r="W66" s="21">
        <v>30000</v>
      </c>
      <c r="X66" s="22"/>
    </row>
    <row r="67" spans="1:24" ht="11.25" customHeight="1">
      <c r="A67" s="12" t="s">
        <v>9</v>
      </c>
      <c r="B67" s="52" t="s">
        <v>100</v>
      </c>
      <c r="C67" s="14" t="s">
        <v>101</v>
      </c>
      <c r="D67" s="15">
        <f>1.58-1.12</f>
        <v>0.45999999999999996</v>
      </c>
      <c r="E67" s="21">
        <v>32000</v>
      </c>
      <c r="F67" s="22"/>
      <c r="G67" s="12" t="s">
        <v>9</v>
      </c>
      <c r="H67" s="52" t="s">
        <v>88</v>
      </c>
      <c r="I67" s="14" t="s">
        <v>4</v>
      </c>
      <c r="J67" s="15">
        <f>10.65-0.124-0.1-0.194</f>
        <v>10.232</v>
      </c>
      <c r="K67" s="21">
        <v>36000</v>
      </c>
      <c r="L67" s="22"/>
      <c r="M67" s="12" t="s">
        <v>9</v>
      </c>
      <c r="N67" s="39">
        <v>95</v>
      </c>
      <c r="O67" s="14" t="s">
        <v>55</v>
      </c>
      <c r="P67" s="15">
        <v>0.166</v>
      </c>
      <c r="Q67" s="21">
        <v>36000</v>
      </c>
      <c r="R67" s="22"/>
      <c r="S67" s="12" t="s">
        <v>9</v>
      </c>
      <c r="T67" s="34" t="s">
        <v>37</v>
      </c>
      <c r="U67" s="14"/>
      <c r="V67" s="15">
        <v>0.167</v>
      </c>
      <c r="W67" s="21">
        <v>30000</v>
      </c>
      <c r="X67" s="22"/>
    </row>
    <row r="68" spans="1:24" ht="11.25" customHeight="1">
      <c r="A68" s="12" t="s">
        <v>9</v>
      </c>
      <c r="B68" s="52" t="s">
        <v>100</v>
      </c>
      <c r="C68" s="14" t="s">
        <v>107</v>
      </c>
      <c r="D68" s="15">
        <v>0.32</v>
      </c>
      <c r="E68" s="21">
        <v>32000</v>
      </c>
      <c r="F68" s="22"/>
      <c r="G68" s="12" t="s">
        <v>9</v>
      </c>
      <c r="H68" s="52">
        <v>25</v>
      </c>
      <c r="I68" s="14" t="s">
        <v>4</v>
      </c>
      <c r="J68" s="15">
        <f>0.54+0.036+0.388-0.45</f>
        <v>0.514</v>
      </c>
      <c r="K68" s="21">
        <v>36000</v>
      </c>
      <c r="L68" s="22"/>
      <c r="M68" s="12"/>
      <c r="N68" s="39"/>
      <c r="O68" s="14"/>
      <c r="P68" s="15"/>
      <c r="Q68" s="21"/>
      <c r="R68" s="22"/>
      <c r="S68" s="140" t="s">
        <v>24</v>
      </c>
      <c r="T68" s="141"/>
      <c r="U68" s="141"/>
      <c r="V68" s="141"/>
      <c r="W68" s="142"/>
      <c r="X68" s="22"/>
    </row>
    <row r="69" spans="1:24" ht="11.25" customHeight="1">
      <c r="A69" s="12" t="s">
        <v>9</v>
      </c>
      <c r="B69" s="52">
        <v>12</v>
      </c>
      <c r="C69" s="14" t="s">
        <v>13</v>
      </c>
      <c r="D69" s="15">
        <f>1.81-0.027-0.024-0.006-0.032-0.25-0.13</f>
        <v>1.3410000000000002</v>
      </c>
      <c r="E69" s="21">
        <v>36000</v>
      </c>
      <c r="F69" s="22"/>
      <c r="G69" s="12" t="s">
        <v>9</v>
      </c>
      <c r="H69" s="39">
        <v>25</v>
      </c>
      <c r="I69" s="14" t="s">
        <v>13</v>
      </c>
      <c r="J69" s="15">
        <v>0.11</v>
      </c>
      <c r="K69" s="21">
        <v>36000</v>
      </c>
      <c r="L69" s="22"/>
      <c r="M69" s="12" t="s">
        <v>9</v>
      </c>
      <c r="N69" s="99">
        <v>100</v>
      </c>
      <c r="O69" s="16">
        <v>10</v>
      </c>
      <c r="P69" s="15">
        <f>10.5-0.742-0.314-0.556-4.04-0.36</f>
        <v>4.487999999999998</v>
      </c>
      <c r="Q69" s="21">
        <v>36000</v>
      </c>
      <c r="R69" s="22"/>
      <c r="S69" s="12" t="s">
        <v>9</v>
      </c>
      <c r="T69" s="34" t="s">
        <v>38</v>
      </c>
      <c r="U69" s="14" t="s">
        <v>4</v>
      </c>
      <c r="V69" s="15">
        <f>0.75-0.022-0.02-0.027-0.054-0.022-0.025</f>
        <v>0.5799999999999998</v>
      </c>
      <c r="W69" s="21">
        <v>30000</v>
      </c>
      <c r="X69" s="22"/>
    </row>
    <row r="70" spans="1:24" ht="11.25" customHeight="1">
      <c r="A70" s="12" t="s">
        <v>9</v>
      </c>
      <c r="B70" s="38">
        <v>12</v>
      </c>
      <c r="C70" s="14" t="s">
        <v>2</v>
      </c>
      <c r="D70" s="15">
        <f>1.56+0.206-0.3-0.958-0.004-0.004-0.004</f>
        <v>0.496</v>
      </c>
      <c r="E70" s="21">
        <v>36000</v>
      </c>
      <c r="F70" s="22"/>
      <c r="G70" s="12" t="s">
        <v>9</v>
      </c>
      <c r="H70" s="52">
        <v>26</v>
      </c>
      <c r="I70" s="14" t="s">
        <v>52</v>
      </c>
      <c r="J70" s="15">
        <f>9.636-0.072-0.3-0.27-0.4-0.306-0.4-0.53-0.028-3.2-2.6-0.017-1-0.042-0.062-0.016-0.018</f>
        <v>0.3749999999999999</v>
      </c>
      <c r="K70" s="21">
        <v>36000</v>
      </c>
      <c r="L70" s="22"/>
      <c r="M70" s="12" t="s">
        <v>9</v>
      </c>
      <c r="N70" s="118">
        <v>100</v>
      </c>
      <c r="O70" s="16" t="s">
        <v>154</v>
      </c>
      <c r="P70" s="15">
        <v>1.67</v>
      </c>
      <c r="Q70" s="21">
        <v>36000</v>
      </c>
      <c r="R70" s="22"/>
      <c r="S70" s="12" t="s">
        <v>9</v>
      </c>
      <c r="T70" s="100" t="s">
        <v>137</v>
      </c>
      <c r="U70" s="14" t="s">
        <v>48</v>
      </c>
      <c r="V70" s="15">
        <f>0.984-0.18-0.03+14.6</f>
        <v>15.373999999999999</v>
      </c>
      <c r="W70" s="21">
        <v>45000</v>
      </c>
      <c r="X70" s="22"/>
    </row>
    <row r="71" spans="1:24" ht="11.25" customHeight="1">
      <c r="A71" s="12" t="s">
        <v>9</v>
      </c>
      <c r="B71" s="42">
        <v>12</v>
      </c>
      <c r="C71" s="16">
        <v>20</v>
      </c>
      <c r="D71" s="15">
        <f>0.67+0.132-0.2-0.538+0.234-0.012-0.09-0.012+1</f>
        <v>1.184</v>
      </c>
      <c r="E71" s="21">
        <v>36000</v>
      </c>
      <c r="F71" s="22"/>
      <c r="G71" s="12" t="s">
        <v>9</v>
      </c>
      <c r="H71" s="52">
        <v>26</v>
      </c>
      <c r="I71" s="14" t="s">
        <v>12</v>
      </c>
      <c r="J71" s="15">
        <f>2.176+0.78-0.026</f>
        <v>2.9300000000000006</v>
      </c>
      <c r="K71" s="21">
        <v>36000</v>
      </c>
      <c r="L71" s="22"/>
      <c r="M71" s="12" t="s">
        <v>9</v>
      </c>
      <c r="N71" s="85">
        <v>100</v>
      </c>
      <c r="O71" s="16">
        <v>35</v>
      </c>
      <c r="P71" s="15">
        <f>0.262-0.16+0.16</f>
        <v>0.262</v>
      </c>
      <c r="Q71" s="21">
        <v>36000</v>
      </c>
      <c r="R71" s="22"/>
      <c r="S71" s="12" t="s">
        <v>9</v>
      </c>
      <c r="T71" s="44" t="s">
        <v>136</v>
      </c>
      <c r="U71" s="16">
        <v>20</v>
      </c>
      <c r="V71" s="15">
        <v>0.51</v>
      </c>
      <c r="W71" s="21">
        <v>45000</v>
      </c>
      <c r="X71" s="22"/>
    </row>
    <row r="72" spans="1:24" ht="11.25" customHeight="1">
      <c r="A72" s="12" t="s">
        <v>9</v>
      </c>
      <c r="B72" s="42">
        <v>12</v>
      </c>
      <c r="C72" s="14"/>
      <c r="D72" s="15">
        <v>0.034</v>
      </c>
      <c r="E72" s="21">
        <v>36000</v>
      </c>
      <c r="F72" s="22"/>
      <c r="G72" s="12"/>
      <c r="H72" s="39"/>
      <c r="I72" s="14"/>
      <c r="J72" s="15"/>
      <c r="K72" s="21"/>
      <c r="L72" s="22"/>
      <c r="M72" s="12" t="s">
        <v>9</v>
      </c>
      <c r="N72" s="39">
        <v>100</v>
      </c>
      <c r="O72" s="14" t="s">
        <v>124</v>
      </c>
      <c r="P72" s="15">
        <f>0.6-0.102-0.108</f>
        <v>0.39</v>
      </c>
      <c r="Q72" s="21">
        <v>36000</v>
      </c>
      <c r="R72" s="22"/>
      <c r="S72" s="12" t="s">
        <v>9</v>
      </c>
      <c r="T72" s="44" t="s">
        <v>66</v>
      </c>
      <c r="U72" s="16" t="s">
        <v>58</v>
      </c>
      <c r="V72" s="15">
        <v>0.604</v>
      </c>
      <c r="W72" s="21">
        <v>45000</v>
      </c>
      <c r="X72" s="22"/>
    </row>
    <row r="73" spans="1:24" ht="11.25" customHeight="1">
      <c r="A73" s="12" t="s">
        <v>9</v>
      </c>
      <c r="B73" s="52">
        <v>12</v>
      </c>
      <c r="C73" s="14" t="s">
        <v>1</v>
      </c>
      <c r="D73" s="15">
        <f>0.35+0.28</f>
        <v>0.63</v>
      </c>
      <c r="E73" s="21">
        <v>36000</v>
      </c>
      <c r="F73" s="22"/>
      <c r="G73" s="12" t="s">
        <v>9</v>
      </c>
      <c r="H73" s="39">
        <v>30</v>
      </c>
      <c r="I73" s="14" t="s">
        <v>121</v>
      </c>
      <c r="J73" s="15">
        <f>19.97-0.016-10</f>
        <v>9.954</v>
      </c>
      <c r="K73" s="21">
        <v>36000</v>
      </c>
      <c r="L73" s="22"/>
      <c r="M73" s="12" t="s">
        <v>9</v>
      </c>
      <c r="N73" s="39">
        <v>100</v>
      </c>
      <c r="O73" s="14" t="s">
        <v>45</v>
      </c>
      <c r="P73" s="15">
        <v>2.83</v>
      </c>
      <c r="Q73" s="21">
        <v>36000</v>
      </c>
      <c r="R73" s="22"/>
      <c r="S73" s="12" t="s">
        <v>9</v>
      </c>
      <c r="T73" s="65" t="s">
        <v>95</v>
      </c>
      <c r="U73" s="14" t="s">
        <v>4</v>
      </c>
      <c r="V73" s="15">
        <f>2.62-0.31-0.018-0.15-0.166</f>
        <v>1.9760000000000004</v>
      </c>
      <c r="W73" s="21">
        <v>45000</v>
      </c>
      <c r="X73" s="22"/>
    </row>
    <row r="74" spans="1:24" ht="11.25" customHeight="1">
      <c r="A74" s="12" t="s">
        <v>9</v>
      </c>
      <c r="B74" s="38" t="s">
        <v>41</v>
      </c>
      <c r="C74" s="14" t="s">
        <v>13</v>
      </c>
      <c r="D74" s="15">
        <f>0.91-0.012-0.098-0.01-0.177-0.04-0.33+0.79-0.79+1.64-1.27-0.35</f>
        <v>0.2629999999999998</v>
      </c>
      <c r="E74" s="21">
        <v>36000</v>
      </c>
      <c r="F74" s="22"/>
      <c r="G74" s="12"/>
      <c r="H74" s="118"/>
      <c r="I74" s="16"/>
      <c r="J74" s="15"/>
      <c r="K74" s="21"/>
      <c r="L74" s="22"/>
      <c r="M74" s="12" t="s">
        <v>9</v>
      </c>
      <c r="N74" s="39">
        <v>105</v>
      </c>
      <c r="O74" s="14" t="s">
        <v>119</v>
      </c>
      <c r="P74" s="15">
        <v>2.34</v>
      </c>
      <c r="Q74" s="21">
        <v>36000</v>
      </c>
      <c r="R74" s="22"/>
      <c r="S74" s="12" t="s">
        <v>9</v>
      </c>
      <c r="T74" s="72" t="s">
        <v>106</v>
      </c>
      <c r="U74" s="14" t="s">
        <v>44</v>
      </c>
      <c r="V74" s="15">
        <f>1.55-0.368-0.24</f>
        <v>0.942</v>
      </c>
      <c r="W74" s="21">
        <v>45000</v>
      </c>
      <c r="X74" s="22"/>
    </row>
    <row r="75" spans="1:24" ht="11.25" customHeight="1">
      <c r="A75" s="12" t="s">
        <v>9</v>
      </c>
      <c r="B75" s="38" t="s">
        <v>47</v>
      </c>
      <c r="C75" s="14" t="s">
        <v>13</v>
      </c>
      <c r="D75" s="15">
        <f>0.73-0.036-0.03-0.53</f>
        <v>0.1339999999999999</v>
      </c>
      <c r="E75" s="21">
        <v>36000</v>
      </c>
      <c r="F75" s="22"/>
      <c r="G75" s="12" t="s">
        <v>9</v>
      </c>
      <c r="H75" s="80">
        <v>32</v>
      </c>
      <c r="I75" s="16"/>
      <c r="J75" s="15">
        <f>0.144-0.02</f>
        <v>0.12399999999999999</v>
      </c>
      <c r="K75" s="21">
        <v>36000</v>
      </c>
      <c r="L75" s="22"/>
      <c r="M75" s="12" t="s">
        <v>9</v>
      </c>
      <c r="N75" s="39">
        <v>115</v>
      </c>
      <c r="O75" s="14" t="s">
        <v>44</v>
      </c>
      <c r="P75" s="15">
        <f>0.982-0.324</f>
        <v>0.6579999999999999</v>
      </c>
      <c r="Q75" s="21">
        <v>36000</v>
      </c>
      <c r="R75" s="22"/>
      <c r="S75" s="12" t="s">
        <v>9</v>
      </c>
      <c r="T75" s="86" t="s">
        <v>116</v>
      </c>
      <c r="U75" s="14" t="s">
        <v>117</v>
      </c>
      <c r="V75" s="15">
        <v>2</v>
      </c>
      <c r="W75" s="21">
        <v>60000</v>
      </c>
      <c r="X75" s="22"/>
    </row>
    <row r="76" spans="1:24" ht="11.25" customHeight="1">
      <c r="A76" s="12" t="s">
        <v>9</v>
      </c>
      <c r="B76" s="42">
        <v>14</v>
      </c>
      <c r="C76" s="16"/>
      <c r="D76" s="15">
        <v>0.05</v>
      </c>
      <c r="E76" s="21">
        <v>36000</v>
      </c>
      <c r="F76" s="22"/>
      <c r="G76" s="12" t="s">
        <v>9</v>
      </c>
      <c r="H76" s="82">
        <v>32</v>
      </c>
      <c r="I76" s="16">
        <v>20</v>
      </c>
      <c r="J76" s="15">
        <f>7.19-4.982-0.1-0.04+0.082-2.068+6.4+0.6-0.68-0.03-1.47-0.5-0.35-0.126-0.02-0.032-0.252-0.204-0.98-1.49-0.03-0.266-0.072-0.256-0.3</f>
        <v>0.024000000000000632</v>
      </c>
      <c r="K76" s="21">
        <v>36000</v>
      </c>
      <c r="L76" s="22"/>
      <c r="M76" s="12" t="s">
        <v>9</v>
      </c>
      <c r="N76" s="39">
        <v>120</v>
      </c>
      <c r="O76" s="14" t="s">
        <v>133</v>
      </c>
      <c r="P76" s="15">
        <v>0.144</v>
      </c>
      <c r="Q76" s="21">
        <v>36000</v>
      </c>
      <c r="R76" s="22"/>
      <c r="S76" s="12" t="s">
        <v>9</v>
      </c>
      <c r="T76" s="34" t="s">
        <v>34</v>
      </c>
      <c r="U76" s="14" t="s">
        <v>4</v>
      </c>
      <c r="V76" s="15">
        <v>0.194</v>
      </c>
      <c r="W76" s="21">
        <v>40000</v>
      </c>
      <c r="X76" s="22"/>
    </row>
    <row r="77" spans="1:24" ht="11.25" customHeight="1">
      <c r="A77" s="12" t="s">
        <v>9</v>
      </c>
      <c r="B77" s="52">
        <v>14</v>
      </c>
      <c r="C77" s="16">
        <v>45</v>
      </c>
      <c r="D77" s="15">
        <f>0.16-0.094-0.007-0.016</f>
        <v>0.043000000000000003</v>
      </c>
      <c r="E77" s="21">
        <v>36000</v>
      </c>
      <c r="F77" s="22"/>
      <c r="G77" s="12" t="s">
        <v>9</v>
      </c>
      <c r="H77" s="52">
        <v>34</v>
      </c>
      <c r="I77" s="14" t="s">
        <v>131</v>
      </c>
      <c r="J77" s="15">
        <v>0.516</v>
      </c>
      <c r="K77" s="21">
        <v>36000</v>
      </c>
      <c r="L77" s="22"/>
      <c r="M77" s="12" t="s">
        <v>9</v>
      </c>
      <c r="N77" s="39">
        <v>120</v>
      </c>
      <c r="O77" s="14" t="s">
        <v>119</v>
      </c>
      <c r="P77" s="15">
        <f>0.342+0.274</f>
        <v>0.6160000000000001</v>
      </c>
      <c r="Q77" s="21">
        <v>36000</v>
      </c>
      <c r="R77" s="22"/>
      <c r="S77" s="12" t="s">
        <v>9</v>
      </c>
      <c r="T77" s="34" t="s">
        <v>33</v>
      </c>
      <c r="U77" s="14" t="s">
        <v>4</v>
      </c>
      <c r="V77" s="15">
        <v>0.34</v>
      </c>
      <c r="W77" s="21">
        <v>40000</v>
      </c>
      <c r="X77" s="22"/>
    </row>
    <row r="78" spans="1:24" ht="11.25" customHeight="1">
      <c r="A78" s="12" t="s">
        <v>9</v>
      </c>
      <c r="B78" s="52" t="s">
        <v>102</v>
      </c>
      <c r="C78" s="14" t="s">
        <v>69</v>
      </c>
      <c r="D78" s="15">
        <f>1.63-0.048-0.02-0.304-0.03-0.49-0.54</f>
        <v>0.19799999999999973</v>
      </c>
      <c r="E78" s="21">
        <v>32000</v>
      </c>
      <c r="F78" s="22"/>
      <c r="G78" s="12"/>
      <c r="H78" s="52"/>
      <c r="I78" s="14"/>
      <c r="J78" s="15"/>
      <c r="K78" s="21"/>
      <c r="L78" s="22"/>
      <c r="M78" s="12" t="s">
        <v>9</v>
      </c>
      <c r="N78" s="39">
        <v>130</v>
      </c>
      <c r="O78" s="14" t="s">
        <v>1</v>
      </c>
      <c r="P78" s="15">
        <f>5.924-0.534-0.532-0.02-1.15-0.566-0.105-0.055-0.88-0.538</f>
        <v>1.5440000000000011</v>
      </c>
      <c r="Q78" s="21">
        <v>36000</v>
      </c>
      <c r="R78" s="22"/>
      <c r="S78" s="140" t="s">
        <v>28</v>
      </c>
      <c r="T78" s="141"/>
      <c r="U78" s="141"/>
      <c r="V78" s="141"/>
      <c r="W78" s="142"/>
      <c r="X78" s="22"/>
    </row>
    <row r="79" spans="1:24" ht="11.25" customHeight="1">
      <c r="A79" s="12" t="s">
        <v>9</v>
      </c>
      <c r="B79" s="52">
        <v>14</v>
      </c>
      <c r="C79" s="14" t="s">
        <v>1</v>
      </c>
      <c r="D79" s="15">
        <v>0.758</v>
      </c>
      <c r="E79" s="21">
        <v>36000</v>
      </c>
      <c r="F79" s="22"/>
      <c r="G79" s="12" t="s">
        <v>9</v>
      </c>
      <c r="H79" s="52">
        <v>34</v>
      </c>
      <c r="I79" s="14"/>
      <c r="J79" s="15">
        <v>0.026</v>
      </c>
      <c r="K79" s="21">
        <v>36000</v>
      </c>
      <c r="L79" s="22"/>
      <c r="M79" s="12" t="s">
        <v>9</v>
      </c>
      <c r="N79" s="39">
        <v>130</v>
      </c>
      <c r="O79" s="14" t="s">
        <v>4</v>
      </c>
      <c r="P79" s="15">
        <f>1.654-0.046-0.26-0.32</f>
        <v>1.0279999999999998</v>
      </c>
      <c r="Q79" s="21">
        <v>36000</v>
      </c>
      <c r="R79" s="22"/>
      <c r="S79" s="12" t="s">
        <v>9</v>
      </c>
      <c r="T79" s="34" t="s">
        <v>21</v>
      </c>
      <c r="U79" s="14"/>
      <c r="V79" s="15">
        <v>0.2</v>
      </c>
      <c r="W79" s="21">
        <v>30000</v>
      </c>
      <c r="X79" s="22"/>
    </row>
    <row r="80" spans="1:24" ht="11.25" customHeight="1">
      <c r="A80" s="12"/>
      <c r="B80" s="39"/>
      <c r="C80" s="14"/>
      <c r="D80" s="15"/>
      <c r="E80" s="21"/>
      <c r="F80" s="22"/>
      <c r="G80" s="12" t="s">
        <v>9</v>
      </c>
      <c r="H80" s="118">
        <v>34</v>
      </c>
      <c r="I80" s="16" t="s">
        <v>157</v>
      </c>
      <c r="J80" s="15">
        <v>0.11</v>
      </c>
      <c r="K80" s="21">
        <v>36000</v>
      </c>
      <c r="L80" s="22"/>
      <c r="M80" s="12" t="s">
        <v>9</v>
      </c>
      <c r="N80" s="39">
        <v>130</v>
      </c>
      <c r="O80" s="14" t="s">
        <v>134</v>
      </c>
      <c r="P80" s="15">
        <v>0.26</v>
      </c>
      <c r="Q80" s="21">
        <v>36000</v>
      </c>
      <c r="R80" s="22"/>
      <c r="S80" s="12" t="s">
        <v>9</v>
      </c>
      <c r="T80" s="94">
        <v>1.5</v>
      </c>
      <c r="U80" s="14" t="s">
        <v>125</v>
      </c>
      <c r="V80" s="15">
        <f>2.208+0.84-0.676</f>
        <v>2.372</v>
      </c>
      <c r="W80" s="21">
        <v>50000</v>
      </c>
      <c r="X80" s="22"/>
    </row>
    <row r="81" spans="1:24" ht="11.25" customHeight="1">
      <c r="A81" s="12" t="s">
        <v>9</v>
      </c>
      <c r="B81" s="52" t="s">
        <v>86</v>
      </c>
      <c r="C81" s="14" t="s">
        <v>0</v>
      </c>
      <c r="D81" s="15">
        <f>18.98-0.054-18.596</f>
        <v>0.33000000000000185</v>
      </c>
      <c r="E81" s="21">
        <v>36000</v>
      </c>
      <c r="F81" s="22"/>
      <c r="G81" s="12" t="s">
        <v>9</v>
      </c>
      <c r="H81" s="58">
        <v>35</v>
      </c>
      <c r="I81" s="16" t="s">
        <v>49</v>
      </c>
      <c r="J81" s="15">
        <f>1.39-0.04-0.038-0.2-0.09-0.082-0.08-0.236-0.08-0.034-0.116-0.08-0.078-0.078-0.077-0.066</f>
        <v>0.01499999999999986</v>
      </c>
      <c r="K81" s="21">
        <v>36000</v>
      </c>
      <c r="L81" s="22"/>
      <c r="M81" s="12" t="s">
        <v>9</v>
      </c>
      <c r="N81" s="39">
        <v>130</v>
      </c>
      <c r="O81" s="14" t="s">
        <v>0</v>
      </c>
      <c r="P81" s="15">
        <f>4.58-0.615</f>
        <v>3.965</v>
      </c>
      <c r="Q81" s="21">
        <v>36000</v>
      </c>
      <c r="R81" s="22"/>
      <c r="S81" s="12" t="s">
        <v>9</v>
      </c>
      <c r="T81" s="109" t="s">
        <v>144</v>
      </c>
      <c r="U81" s="14" t="s">
        <v>125</v>
      </c>
      <c r="V81" s="15">
        <v>1.034</v>
      </c>
      <c r="W81" s="21">
        <v>50000</v>
      </c>
      <c r="X81" s="22"/>
    </row>
    <row r="82" spans="1:24" ht="11.25" customHeight="1">
      <c r="A82" s="12" t="s">
        <v>9</v>
      </c>
      <c r="B82" s="92">
        <v>15</v>
      </c>
      <c r="C82" s="16" t="s">
        <v>119</v>
      </c>
      <c r="D82" s="15">
        <v>0.4</v>
      </c>
      <c r="E82" s="21">
        <v>36000</v>
      </c>
      <c r="F82" s="22"/>
      <c r="G82" s="12" t="s">
        <v>9</v>
      </c>
      <c r="H82" s="97">
        <v>35</v>
      </c>
      <c r="I82" s="16" t="s">
        <v>132</v>
      </c>
      <c r="J82" s="15">
        <f>3.21-0.092</f>
        <v>3.118</v>
      </c>
      <c r="K82" s="21">
        <v>36000</v>
      </c>
      <c r="L82" s="22"/>
      <c r="M82" s="12" t="s">
        <v>9</v>
      </c>
      <c r="N82" s="52">
        <v>140</v>
      </c>
      <c r="O82" s="14" t="s">
        <v>13</v>
      </c>
      <c r="P82" s="15">
        <v>0.5</v>
      </c>
      <c r="Q82" s="21">
        <v>36000</v>
      </c>
      <c r="R82" s="22"/>
      <c r="S82" s="12" t="s">
        <v>9</v>
      </c>
      <c r="T82" s="34" t="s">
        <v>20</v>
      </c>
      <c r="U82" s="14"/>
      <c r="V82" s="15">
        <v>0.4</v>
      </c>
      <c r="W82" s="21">
        <v>30000</v>
      </c>
      <c r="X82" s="22"/>
    </row>
    <row r="83" spans="1:24" ht="11.25" customHeight="1">
      <c r="A83" s="12" t="s">
        <v>9</v>
      </c>
      <c r="B83" s="52">
        <v>15</v>
      </c>
      <c r="C83" s="14" t="s">
        <v>123</v>
      </c>
      <c r="D83" s="15">
        <v>1.11</v>
      </c>
      <c r="E83" s="21">
        <v>34000</v>
      </c>
      <c r="F83" s="22"/>
      <c r="G83" s="12" t="s">
        <v>9</v>
      </c>
      <c r="H83" s="99">
        <v>35</v>
      </c>
      <c r="I83" s="16">
        <v>10</v>
      </c>
      <c r="J83" s="15">
        <f>0.67-0.086</f>
        <v>0.5840000000000001</v>
      </c>
      <c r="K83" s="21">
        <v>36000</v>
      </c>
      <c r="L83" s="22"/>
      <c r="M83" s="12" t="s">
        <v>9</v>
      </c>
      <c r="N83" s="92">
        <v>150</v>
      </c>
      <c r="O83" s="16" t="s">
        <v>120</v>
      </c>
      <c r="P83" s="15">
        <f>0.61+0.184</f>
        <v>0.794</v>
      </c>
      <c r="Q83" s="21">
        <v>36000</v>
      </c>
      <c r="R83" s="22"/>
      <c r="S83" s="12" t="s">
        <v>9</v>
      </c>
      <c r="T83" s="30">
        <v>3.5</v>
      </c>
      <c r="U83" s="16" t="s">
        <v>14</v>
      </c>
      <c r="V83" s="15">
        <f>3.72-0.034-0.08-0.07-0.08-0.084-0.068-0.08-0.064-0.082-0.062-0.088-0.096-0.08-0.08-0.08-0.08-0.086-0.092-0.072-0.1-0.084-0.082-0.112-0.142-0.08-0.156-0.188-0.332-0.16-0.1-0.072-0.15-0.066-0.036</f>
        <v>0.4019999999999998</v>
      </c>
      <c r="W83" s="21">
        <v>60000</v>
      </c>
      <c r="X83" s="22"/>
    </row>
    <row r="84" spans="1:24" ht="11.25" customHeight="1">
      <c r="A84" s="12" t="s">
        <v>9</v>
      </c>
      <c r="B84" s="52" t="s">
        <v>99</v>
      </c>
      <c r="C84" s="14" t="s">
        <v>48</v>
      </c>
      <c r="D84" s="15">
        <v>0.094</v>
      </c>
      <c r="E84" s="21">
        <v>32000</v>
      </c>
      <c r="F84" s="22"/>
      <c r="G84" s="12" t="s">
        <v>9</v>
      </c>
      <c r="H84" s="90">
        <v>36</v>
      </c>
      <c r="I84" s="14" t="s">
        <v>15</v>
      </c>
      <c r="J84" s="15">
        <f>4.08+1.87+8.29+10.3-4.08+4.08-4.18-0.502-0.23-0.05-0.802-0.314-0.312-0.174-0.32-0.16-0.6-0.4-1.708-2.07</f>
        <v>12.717999999999998</v>
      </c>
      <c r="K84" s="21">
        <v>36000</v>
      </c>
      <c r="L84" s="22"/>
      <c r="M84" s="12" t="s">
        <v>9</v>
      </c>
      <c r="N84" s="52">
        <v>150</v>
      </c>
      <c r="O84" s="14" t="s">
        <v>114</v>
      </c>
      <c r="P84" s="15">
        <v>0.43</v>
      </c>
      <c r="Q84" s="21">
        <v>36000</v>
      </c>
      <c r="R84" s="22"/>
      <c r="S84" s="12" t="s">
        <v>9</v>
      </c>
      <c r="T84" s="30">
        <v>4.5</v>
      </c>
      <c r="U84" s="16">
        <v>75</v>
      </c>
      <c r="V84" s="15">
        <v>1.616</v>
      </c>
      <c r="W84" s="21">
        <v>50000</v>
      </c>
      <c r="X84" s="22"/>
    </row>
    <row r="85" spans="1:24" ht="11.25" customHeight="1">
      <c r="A85" s="12" t="s">
        <v>9</v>
      </c>
      <c r="B85" s="52" t="s">
        <v>99</v>
      </c>
      <c r="C85" s="14" t="s">
        <v>2</v>
      </c>
      <c r="D85" s="15">
        <f>1.71-0.056</f>
        <v>1.654</v>
      </c>
      <c r="E85" s="21">
        <v>36000</v>
      </c>
      <c r="F85" s="22"/>
      <c r="G85" s="12" t="s">
        <v>9</v>
      </c>
      <c r="H85" s="52">
        <v>36</v>
      </c>
      <c r="I85" s="16">
        <v>45</v>
      </c>
      <c r="J85" s="15">
        <f>0.56-0.184-0.134</f>
        <v>0.24200000000000005</v>
      </c>
      <c r="K85" s="21">
        <v>36000</v>
      </c>
      <c r="L85" s="22"/>
      <c r="M85" s="12" t="s">
        <v>9</v>
      </c>
      <c r="N85" s="52">
        <v>150</v>
      </c>
      <c r="O85" s="14" t="s">
        <v>44</v>
      </c>
      <c r="P85" s="15">
        <f>0.908-0.386</f>
        <v>0.522</v>
      </c>
      <c r="Q85" s="21">
        <v>36000</v>
      </c>
      <c r="R85" s="22"/>
      <c r="S85" s="12" t="s">
        <v>9</v>
      </c>
      <c r="T85" s="34">
        <v>5</v>
      </c>
      <c r="U85" s="14"/>
      <c r="V85" s="15">
        <v>0.08</v>
      </c>
      <c r="W85" s="21">
        <v>30000</v>
      </c>
      <c r="X85" s="22"/>
    </row>
    <row r="86" spans="1:24" ht="11.25" customHeight="1">
      <c r="A86" s="12" t="s">
        <v>9</v>
      </c>
      <c r="B86" s="52">
        <v>16</v>
      </c>
      <c r="C86" s="14" t="s">
        <v>4</v>
      </c>
      <c r="D86" s="15">
        <f>4.97-0.055-0.042-0.6-0.01-0.019-0.066-0.048-0.114</f>
        <v>4.016000000000001</v>
      </c>
      <c r="E86" s="21">
        <v>36000</v>
      </c>
      <c r="F86" s="22"/>
      <c r="G86" s="12" t="s">
        <v>9</v>
      </c>
      <c r="H86" s="87">
        <v>36</v>
      </c>
      <c r="I86" s="16">
        <v>20</v>
      </c>
      <c r="J86" s="15">
        <f>1.73-0.318+2.623-0.043-0.32-1.03-0.04-0.192-2.29+1.544-0.12</f>
        <v>1.544</v>
      </c>
      <c r="K86" s="21">
        <v>36000</v>
      </c>
      <c r="L86" s="22"/>
      <c r="M86" s="12" t="s">
        <v>9</v>
      </c>
      <c r="N86" s="52">
        <v>160</v>
      </c>
      <c r="O86" s="14" t="s">
        <v>1</v>
      </c>
      <c r="P86" s="15">
        <v>7.48</v>
      </c>
      <c r="Q86" s="21">
        <v>36000</v>
      </c>
      <c r="R86" s="22"/>
      <c r="S86" s="12" t="s">
        <v>9</v>
      </c>
      <c r="T86" s="30">
        <v>5</v>
      </c>
      <c r="U86" s="16">
        <v>70</v>
      </c>
      <c r="V86" s="15">
        <f>1.77-1.148</f>
        <v>0.6220000000000001</v>
      </c>
      <c r="W86" s="21">
        <v>50000</v>
      </c>
      <c r="X86" s="22"/>
    </row>
    <row r="87" spans="1:24" ht="11.25" customHeight="1">
      <c r="A87" s="12" t="s">
        <v>9</v>
      </c>
      <c r="B87" s="118">
        <v>16</v>
      </c>
      <c r="C87" s="16" t="s">
        <v>154</v>
      </c>
      <c r="D87" s="15">
        <v>1.266</v>
      </c>
      <c r="E87" s="21">
        <v>36000</v>
      </c>
      <c r="F87" s="22"/>
      <c r="G87" s="12" t="s">
        <v>9</v>
      </c>
      <c r="H87" s="80">
        <v>38</v>
      </c>
      <c r="I87" s="16" t="s">
        <v>55</v>
      </c>
      <c r="J87" s="15">
        <f>0.052-0.02</f>
        <v>0.032</v>
      </c>
      <c r="K87" s="21">
        <v>36000</v>
      </c>
      <c r="L87" s="22"/>
      <c r="M87" s="12" t="s">
        <v>9</v>
      </c>
      <c r="N87" s="39">
        <v>180</v>
      </c>
      <c r="O87" s="14" t="s">
        <v>4</v>
      </c>
      <c r="P87" s="15">
        <v>0.804</v>
      </c>
      <c r="Q87" s="21">
        <v>36000</v>
      </c>
      <c r="R87" s="22"/>
      <c r="S87" s="12" t="s">
        <v>9</v>
      </c>
      <c r="T87" s="94">
        <v>6</v>
      </c>
      <c r="U87" s="14" t="s">
        <v>125</v>
      </c>
      <c r="V87" s="15">
        <v>1.5</v>
      </c>
      <c r="W87" s="21">
        <v>50000</v>
      </c>
      <c r="X87" s="22"/>
    </row>
    <row r="88" spans="1:24" ht="11.25" customHeight="1">
      <c r="A88" s="12" t="s">
        <v>9</v>
      </c>
      <c r="B88" s="39">
        <v>17</v>
      </c>
      <c r="C88" s="14" t="s">
        <v>2</v>
      </c>
      <c r="D88" s="15">
        <f>5.56+5.23-0.006-0.626+1.186-0.036-1-1.56-0.028-0.094-1.186-0.009-0.009</f>
        <v>7.421999999999999</v>
      </c>
      <c r="E88" s="21">
        <v>36000</v>
      </c>
      <c r="F88" s="22"/>
      <c r="G88" s="12" t="s">
        <v>9</v>
      </c>
      <c r="H88" s="52">
        <v>38</v>
      </c>
      <c r="I88" s="14" t="s">
        <v>1</v>
      </c>
      <c r="J88" s="15">
        <f>0.77+0.44-0.144</f>
        <v>1.066</v>
      </c>
      <c r="K88" s="21">
        <v>36000</v>
      </c>
      <c r="L88" s="22"/>
      <c r="M88" s="12" t="s">
        <v>9</v>
      </c>
      <c r="N88" s="39">
        <v>200</v>
      </c>
      <c r="O88" s="14" t="s">
        <v>0</v>
      </c>
      <c r="P88" s="15">
        <f>2.034+0.39+1.07</f>
        <v>3.4939999999999998</v>
      </c>
      <c r="Q88" s="21">
        <v>36000</v>
      </c>
      <c r="R88" s="22"/>
      <c r="S88" s="12" t="s">
        <v>9</v>
      </c>
      <c r="T88" s="122" t="s">
        <v>146</v>
      </c>
      <c r="U88" s="14" t="s">
        <v>125</v>
      </c>
      <c r="V88" s="15">
        <v>9.972</v>
      </c>
      <c r="W88" s="21">
        <v>50000</v>
      </c>
      <c r="X88" s="22"/>
    </row>
    <row r="89" spans="1:24" ht="11.25" customHeight="1">
      <c r="A89" s="12" t="s">
        <v>9</v>
      </c>
      <c r="B89" s="39">
        <v>17</v>
      </c>
      <c r="C89" s="14" t="s">
        <v>118</v>
      </c>
      <c r="D89" s="15">
        <f>1.186-0.09</f>
        <v>1.0959999999999999</v>
      </c>
      <c r="E89" s="21">
        <v>34000</v>
      </c>
      <c r="F89" s="22"/>
      <c r="G89" s="12" t="s">
        <v>9</v>
      </c>
      <c r="H89" s="52">
        <v>38</v>
      </c>
      <c r="I89" s="14" t="s">
        <v>115</v>
      </c>
      <c r="J89" s="15">
        <f>3.1+0.38+0.5+6.54-0.07-1.23</f>
        <v>9.219999999999999</v>
      </c>
      <c r="K89" s="21">
        <v>36000</v>
      </c>
      <c r="L89" s="22"/>
      <c r="M89" s="12" t="s">
        <v>9</v>
      </c>
      <c r="N89" s="44" t="s">
        <v>65</v>
      </c>
      <c r="O89" s="16"/>
      <c r="P89" s="15">
        <f>13.509-0.017-0.014-0.18-0.596-0.698-0.28-0.076-0.16-0.024-0.58-0.26-0.3-0.36-0.198-0.018-0.055-0.19-0.004-0.04-0.312-0.08-0.014-0.214-0.376-3.1-0.14-0.05-0.18-0.14-0.17-0.266-0.118-0.01-0.034-0.038-0.02-0.022-0.228-0.114-0.026-0.06-0.02-0.034-0.064-0.02-0.01-0.608-0.01-0.44+0.17-0.046-0.03-1.09-0.07-1.25-0.016+6.3-0.222-0.284-0.09-0.144-0.167-1.4+18.99+0.05+0.16-0.066-0.208-0.485+0.08-0.2-0.524-0.208-0.37-0.084-0.066-0.034-0.142-0.034-0.03-0.01-0.03-0.698-0.49-0.16-0.678+0.064-0.22-0.08-0.048-0.222-0.084-0.02-0.09-1.38-0.444-0.172-0.07+0.316-0.332-0.395-0.016+0.17-0.02+1.85+0.16-1.62-1.16-0.08-0.083-0.466-0.01-0.107-0.2-0.047-0.022-0.01-0.104-0.04-0.324-0.188-0.015-0.142-0.005-0.014-0.03+0.738+2.04-0.3+0.44-0.05+0.064+0.09+1.23+0.232-0.174-0.8-0.444-0.4-0.42-0.032</f>
        <v>15.479000000000017</v>
      </c>
      <c r="Q89" s="21">
        <v>36000</v>
      </c>
      <c r="R89" s="22"/>
      <c r="S89" s="140" t="s">
        <v>25</v>
      </c>
      <c r="T89" s="141"/>
      <c r="U89" s="141"/>
      <c r="V89" s="141"/>
      <c r="W89" s="142"/>
      <c r="X89" s="22"/>
    </row>
    <row r="90" spans="1:24" ht="11.25" customHeight="1">
      <c r="A90" s="12" t="s">
        <v>9</v>
      </c>
      <c r="B90" s="39">
        <v>17</v>
      </c>
      <c r="C90" s="14" t="s">
        <v>1</v>
      </c>
      <c r="D90" s="15">
        <v>0.172</v>
      </c>
      <c r="E90" s="21">
        <v>36000</v>
      </c>
      <c r="F90" s="22"/>
      <c r="G90" s="12" t="s">
        <v>9</v>
      </c>
      <c r="H90" s="52">
        <v>38</v>
      </c>
      <c r="I90" s="14" t="s">
        <v>0</v>
      </c>
      <c r="J90" s="15">
        <f>0.482+0.63+0.706</f>
        <v>1.818</v>
      </c>
      <c r="K90" s="21">
        <v>36000</v>
      </c>
      <c r="L90" s="22"/>
      <c r="M90" s="144" t="s">
        <v>60</v>
      </c>
      <c r="N90" s="145"/>
      <c r="O90" s="145"/>
      <c r="P90" s="145"/>
      <c r="Q90" s="146"/>
      <c r="R90" s="22"/>
      <c r="S90" s="23" t="s">
        <v>9</v>
      </c>
      <c r="T90" s="19" t="s">
        <v>126</v>
      </c>
      <c r="U90" s="18" t="s">
        <v>22</v>
      </c>
      <c r="V90" s="20">
        <v>2.22</v>
      </c>
      <c r="W90" s="21"/>
      <c r="X90" s="22"/>
    </row>
    <row r="91" spans="1:24" ht="11.25" customHeight="1">
      <c r="A91" s="12" t="s">
        <v>9</v>
      </c>
      <c r="B91" s="39">
        <v>17</v>
      </c>
      <c r="C91" s="14" t="s">
        <v>49</v>
      </c>
      <c r="D91" s="15">
        <v>0.026</v>
      </c>
      <c r="E91" s="21">
        <v>36000</v>
      </c>
      <c r="F91" s="22"/>
      <c r="G91" s="12"/>
      <c r="H91" s="52"/>
      <c r="I91" s="14"/>
      <c r="J91" s="15"/>
      <c r="K91" s="21"/>
      <c r="L91" s="22"/>
      <c r="M91" s="12" t="s">
        <v>10</v>
      </c>
      <c r="N91" s="39">
        <v>12</v>
      </c>
      <c r="O91" s="16">
        <v>35</v>
      </c>
      <c r="P91" s="15">
        <f>0.49+0.092</f>
        <v>0.582</v>
      </c>
      <c r="Q91" s="21">
        <v>40000</v>
      </c>
      <c r="R91" s="22"/>
      <c r="S91" s="23" t="s">
        <v>9</v>
      </c>
      <c r="T91" s="19" t="s">
        <v>103</v>
      </c>
      <c r="U91" s="18"/>
      <c r="V91" s="20">
        <v>0.41</v>
      </c>
      <c r="W91" s="21">
        <v>32000</v>
      </c>
      <c r="X91" s="22"/>
    </row>
    <row r="92" spans="1:24" ht="11.25" customHeight="1">
      <c r="A92" s="12" t="s">
        <v>9</v>
      </c>
      <c r="B92" s="40">
        <v>18</v>
      </c>
      <c r="C92" s="16"/>
      <c r="D92" s="15">
        <v>0.06</v>
      </c>
      <c r="E92" s="21">
        <v>36000</v>
      </c>
      <c r="F92" s="22"/>
      <c r="G92" s="12" t="s">
        <v>9</v>
      </c>
      <c r="H92" s="52">
        <v>43</v>
      </c>
      <c r="I92" s="14" t="s">
        <v>162</v>
      </c>
      <c r="J92" s="15">
        <f>1.16-0.012-0.126-0.034</f>
        <v>0.9879999999999998</v>
      </c>
      <c r="K92" s="21">
        <v>36000</v>
      </c>
      <c r="L92" s="22"/>
      <c r="M92" s="12" t="s">
        <v>10</v>
      </c>
      <c r="N92" s="39">
        <v>12</v>
      </c>
      <c r="O92" s="14" t="s">
        <v>4</v>
      </c>
      <c r="P92" s="15">
        <f>1.04+0.51</f>
        <v>1.55</v>
      </c>
      <c r="Q92" s="21">
        <v>40000</v>
      </c>
      <c r="R92" s="22"/>
      <c r="S92" s="23" t="s">
        <v>9</v>
      </c>
      <c r="T92" s="19" t="s">
        <v>51</v>
      </c>
      <c r="U92" s="18" t="s">
        <v>22</v>
      </c>
      <c r="V92" s="20">
        <f>2.31-0.15-0.011-0.578-0.44-0.3</f>
        <v>0.8310000000000002</v>
      </c>
      <c r="W92" s="21">
        <v>30000</v>
      </c>
      <c r="X92" s="22"/>
    </row>
    <row r="93" spans="1:24" ht="11.25" customHeight="1">
      <c r="A93" s="12" t="s">
        <v>9</v>
      </c>
      <c r="B93" s="118">
        <v>18</v>
      </c>
      <c r="C93" s="16">
        <v>45</v>
      </c>
      <c r="D93" s="15">
        <f>1.14+0.11+0.11</f>
        <v>1.36</v>
      </c>
      <c r="E93" s="21">
        <v>36000</v>
      </c>
      <c r="F93" s="55"/>
      <c r="G93" s="12"/>
      <c r="H93" s="52"/>
      <c r="I93" s="14"/>
      <c r="J93" s="15"/>
      <c r="K93" s="21"/>
      <c r="L93" s="22"/>
      <c r="M93" s="12" t="s">
        <v>10</v>
      </c>
      <c r="N93" s="39">
        <v>12</v>
      </c>
      <c r="O93" s="14" t="s">
        <v>0</v>
      </c>
      <c r="P93" s="15">
        <f>5.16-0.022</f>
        <v>5.138</v>
      </c>
      <c r="Q93" s="21">
        <v>40000</v>
      </c>
      <c r="R93" s="22"/>
      <c r="S93" s="23" t="s">
        <v>9</v>
      </c>
      <c r="T93" s="19" t="s">
        <v>94</v>
      </c>
      <c r="U93" s="18"/>
      <c r="V93" s="20">
        <f>1-0.048</f>
        <v>0.952</v>
      </c>
      <c r="W93" s="21">
        <v>30000</v>
      </c>
      <c r="X93" s="22"/>
    </row>
    <row r="94" spans="1:24" ht="11.25" customHeight="1">
      <c r="A94" s="12" t="s">
        <v>9</v>
      </c>
      <c r="B94" s="52">
        <v>18</v>
      </c>
      <c r="C94" s="14" t="s">
        <v>0</v>
      </c>
      <c r="D94" s="15">
        <f>1.076-0.048-0.182-0.12-0.062-0.17-0.15</f>
        <v>0.3440000000000001</v>
      </c>
      <c r="E94" s="21">
        <v>36000</v>
      </c>
      <c r="F94" s="22"/>
      <c r="G94" s="12" t="s">
        <v>9</v>
      </c>
      <c r="H94" s="52">
        <v>45</v>
      </c>
      <c r="I94" s="14" t="s">
        <v>45</v>
      </c>
      <c r="J94" s="15">
        <v>0.5</v>
      </c>
      <c r="K94" s="21">
        <v>36000</v>
      </c>
      <c r="L94" s="55"/>
      <c r="M94" s="12" t="s">
        <v>10</v>
      </c>
      <c r="N94" s="39">
        <v>12</v>
      </c>
      <c r="O94" s="14" t="s">
        <v>15</v>
      </c>
      <c r="P94" s="15">
        <f>9.44+19.13-19.86-2.994</f>
        <v>5.716000000000001</v>
      </c>
      <c r="Q94" s="21">
        <v>40000</v>
      </c>
      <c r="R94" s="22"/>
      <c r="S94" s="140" t="s">
        <v>26</v>
      </c>
      <c r="T94" s="141"/>
      <c r="U94" s="141"/>
      <c r="V94" s="141"/>
      <c r="W94" s="142"/>
      <c r="X94" s="22"/>
    </row>
    <row r="95" spans="1:24" ht="11.25" customHeight="1">
      <c r="A95" s="12" t="s">
        <v>9</v>
      </c>
      <c r="B95" s="52">
        <v>18</v>
      </c>
      <c r="C95" s="14" t="s">
        <v>2</v>
      </c>
      <c r="D95" s="15">
        <f>1.1+0.06-0.1-0.012-0.01</f>
        <v>1.038</v>
      </c>
      <c r="E95" s="21">
        <v>36000</v>
      </c>
      <c r="F95" s="22"/>
      <c r="G95" s="12"/>
      <c r="H95" s="52"/>
      <c r="I95" s="14"/>
      <c r="J95" s="15"/>
      <c r="K95" s="21"/>
      <c r="L95" s="55"/>
      <c r="M95" s="12" t="s">
        <v>10</v>
      </c>
      <c r="N95" s="48">
        <v>14</v>
      </c>
      <c r="O95" s="14" t="s">
        <v>5</v>
      </c>
      <c r="P95" s="15">
        <f>1.04-0.032-0.019</f>
        <v>0.989</v>
      </c>
      <c r="Q95" s="21">
        <v>40000</v>
      </c>
      <c r="R95" s="22"/>
      <c r="S95" s="12" t="s">
        <v>9</v>
      </c>
      <c r="T95" s="62">
        <v>0.8</v>
      </c>
      <c r="U95" s="14"/>
      <c r="V95" s="15">
        <f>1.16-0.005-0.2</f>
        <v>0.9550000000000001</v>
      </c>
      <c r="W95" s="21">
        <v>34000</v>
      </c>
      <c r="X95" s="22"/>
    </row>
    <row r="96" spans="1:24" ht="11.25" customHeight="1">
      <c r="A96" s="12" t="s">
        <v>9</v>
      </c>
      <c r="B96" s="52">
        <v>18.3</v>
      </c>
      <c r="C96" s="14" t="s">
        <v>48</v>
      </c>
      <c r="D96" s="15">
        <v>0.63</v>
      </c>
      <c r="E96" s="21">
        <v>29000</v>
      </c>
      <c r="F96" s="22"/>
      <c r="G96" s="12" t="s">
        <v>9</v>
      </c>
      <c r="H96" s="52">
        <v>50</v>
      </c>
      <c r="I96" s="14" t="s">
        <v>1</v>
      </c>
      <c r="J96" s="15">
        <f>0.632-0.308-0.129</f>
        <v>0.195</v>
      </c>
      <c r="K96" s="21">
        <v>36000</v>
      </c>
      <c r="L96" s="55"/>
      <c r="M96" s="12" t="s">
        <v>10</v>
      </c>
      <c r="N96" s="48">
        <v>14</v>
      </c>
      <c r="O96" s="14" t="s">
        <v>4</v>
      </c>
      <c r="P96" s="15">
        <f>1.076+1.22+3.43-0.01-0.06-0.098-0.01-0.09</f>
        <v>5.458000000000002</v>
      </c>
      <c r="Q96" s="21">
        <v>40000</v>
      </c>
      <c r="R96" s="22"/>
      <c r="S96" s="12" t="s">
        <v>9</v>
      </c>
      <c r="T96" s="32" t="s">
        <v>23</v>
      </c>
      <c r="U96" s="14" t="s">
        <v>13</v>
      </c>
      <c r="V96" s="15">
        <f>6.36-6.2</f>
        <v>0.16000000000000014</v>
      </c>
      <c r="W96" s="21">
        <v>34000</v>
      </c>
      <c r="X96" s="22"/>
    </row>
    <row r="97" spans="1:24" ht="11.25" customHeight="1">
      <c r="A97" s="12" t="s">
        <v>9</v>
      </c>
      <c r="B97" s="52">
        <v>19</v>
      </c>
      <c r="C97" s="14" t="s">
        <v>2</v>
      </c>
      <c r="D97" s="15">
        <f>0.164-0.01-0.011</f>
        <v>0.143</v>
      </c>
      <c r="E97" s="21">
        <v>36000</v>
      </c>
      <c r="F97" s="22"/>
      <c r="G97" s="12" t="s">
        <v>9</v>
      </c>
      <c r="H97" s="52">
        <v>50</v>
      </c>
      <c r="I97" s="14" t="s">
        <v>80</v>
      </c>
      <c r="J97" s="15">
        <f>0.29-0.054-0.062</f>
        <v>0.174</v>
      </c>
      <c r="K97" s="21">
        <v>36000</v>
      </c>
      <c r="L97" s="55"/>
      <c r="M97" s="12" t="s">
        <v>10</v>
      </c>
      <c r="N97" s="41">
        <v>14</v>
      </c>
      <c r="O97" s="14" t="s">
        <v>2</v>
      </c>
      <c r="P97" s="15">
        <f>3.6+2.44-0.034-0.006-0.036-0.006-0.018-0.012</f>
        <v>5.928000000000001</v>
      </c>
      <c r="Q97" s="21">
        <v>40000</v>
      </c>
      <c r="R97" s="22"/>
      <c r="S97" s="12" t="s">
        <v>9</v>
      </c>
      <c r="T97" s="44" t="s">
        <v>84</v>
      </c>
      <c r="U97" s="16"/>
      <c r="V97" s="15">
        <f>1.84-0.03-0.7-0.61</f>
        <v>0.5000000000000001</v>
      </c>
      <c r="W97" s="21">
        <v>34000</v>
      </c>
      <c r="X97" s="22"/>
    </row>
    <row r="98" spans="1:24" ht="11.25" customHeight="1">
      <c r="A98" s="12" t="s">
        <v>9</v>
      </c>
      <c r="B98" s="39">
        <v>19</v>
      </c>
      <c r="C98" s="14" t="s">
        <v>81</v>
      </c>
      <c r="D98" s="15">
        <v>5.48</v>
      </c>
      <c r="E98" s="21">
        <v>36000</v>
      </c>
      <c r="F98" s="22"/>
      <c r="G98" s="12" t="s">
        <v>9</v>
      </c>
      <c r="H98" s="52">
        <v>50</v>
      </c>
      <c r="I98" s="14" t="s">
        <v>45</v>
      </c>
      <c r="J98" s="15">
        <v>0.534</v>
      </c>
      <c r="K98" s="21">
        <v>36000</v>
      </c>
      <c r="L98" s="55"/>
      <c r="M98" s="12" t="s">
        <v>10</v>
      </c>
      <c r="N98" s="42">
        <v>17</v>
      </c>
      <c r="O98" s="14" t="s">
        <v>1</v>
      </c>
      <c r="P98" s="15">
        <f>0.574-0.304-0.009-0.015-0.024</f>
        <v>0.22199999999999995</v>
      </c>
      <c r="Q98" s="21">
        <v>40000</v>
      </c>
      <c r="R98" s="22"/>
      <c r="S98" s="12" t="s">
        <v>9</v>
      </c>
      <c r="T98" s="49">
        <v>1.5</v>
      </c>
      <c r="U98" s="14"/>
      <c r="V98" s="15">
        <f>4.7-0.302-1.5-1.996+0.61-0.15-0.444-0.074-0.072-0.27-0.044-0.31</f>
        <v>0.1480000000000007</v>
      </c>
      <c r="W98" s="21">
        <v>34000</v>
      </c>
      <c r="X98" s="22"/>
    </row>
    <row r="99" spans="1:24" ht="11.25" customHeight="1">
      <c r="A99" s="12" t="s">
        <v>9</v>
      </c>
      <c r="B99" s="39">
        <v>19</v>
      </c>
      <c r="C99" s="14" t="s">
        <v>82</v>
      </c>
      <c r="D99" s="15">
        <v>4.16</v>
      </c>
      <c r="E99" s="21">
        <v>36000</v>
      </c>
      <c r="F99" s="22"/>
      <c r="G99" s="12"/>
      <c r="H99" s="52"/>
      <c r="I99" s="14"/>
      <c r="J99" s="15"/>
      <c r="K99" s="21"/>
      <c r="L99" s="55"/>
      <c r="M99" s="12" t="s">
        <v>10</v>
      </c>
      <c r="N99" s="41">
        <v>17</v>
      </c>
      <c r="O99" s="14" t="s">
        <v>15</v>
      </c>
      <c r="P99" s="15">
        <f>3.208-1.445-0.314-0.35-0.029-0.684</f>
        <v>0.38600000000000023</v>
      </c>
      <c r="Q99" s="21">
        <v>40000</v>
      </c>
      <c r="R99" s="22"/>
      <c r="S99" s="12" t="s">
        <v>9</v>
      </c>
      <c r="T99" s="32">
        <v>1.6</v>
      </c>
      <c r="U99" s="14" t="s">
        <v>22</v>
      </c>
      <c r="V99" s="15">
        <f>0.88-0.56</f>
        <v>0.31999999999999995</v>
      </c>
      <c r="W99" s="21">
        <v>34000</v>
      </c>
      <c r="X99" s="22"/>
    </row>
    <row r="100" spans="1:24" ht="11.25" customHeight="1">
      <c r="A100" s="12" t="s">
        <v>9</v>
      </c>
      <c r="B100" s="39">
        <v>19</v>
      </c>
      <c r="C100" s="14" t="s">
        <v>5</v>
      </c>
      <c r="D100" s="15">
        <f>2.044-0.016-0.266-0.012-0.53</f>
        <v>1.22</v>
      </c>
      <c r="E100" s="21">
        <v>36000</v>
      </c>
      <c r="F100" s="22"/>
      <c r="G100" s="12" t="s">
        <v>9</v>
      </c>
      <c r="H100" s="52">
        <v>60</v>
      </c>
      <c r="I100" s="14" t="s">
        <v>73</v>
      </c>
      <c r="J100" s="15">
        <v>0.134</v>
      </c>
      <c r="K100" s="21">
        <v>36000</v>
      </c>
      <c r="L100" s="55"/>
      <c r="M100" s="12" t="s">
        <v>10</v>
      </c>
      <c r="N100" s="43">
        <v>17</v>
      </c>
      <c r="O100" s="14" t="s">
        <v>2</v>
      </c>
      <c r="P100" s="15">
        <f>0.9-0.02-0.018-0.018-0.06-0.17-0.02-0.048-0.017</f>
        <v>0.5289999999999999</v>
      </c>
      <c r="Q100" s="21">
        <v>40000</v>
      </c>
      <c r="R100" s="22"/>
      <c r="S100" s="12" t="s">
        <v>9</v>
      </c>
      <c r="T100" s="119" t="s">
        <v>159</v>
      </c>
      <c r="U100" s="14" t="s">
        <v>1</v>
      </c>
      <c r="V100" s="15">
        <v>4.95</v>
      </c>
      <c r="W100" s="21">
        <v>34000</v>
      </c>
      <c r="X100" s="22"/>
    </row>
    <row r="101" spans="1:24" ht="11.25" customHeight="1">
      <c r="A101" s="12" t="s">
        <v>9</v>
      </c>
      <c r="B101" s="52">
        <v>19.7</v>
      </c>
      <c r="C101" s="14" t="s">
        <v>87</v>
      </c>
      <c r="D101" s="15">
        <v>0.328</v>
      </c>
      <c r="E101" s="21">
        <v>32000</v>
      </c>
      <c r="F101" s="22"/>
      <c r="G101" s="12"/>
      <c r="H101" s="52"/>
      <c r="I101" s="16"/>
      <c r="J101" s="15"/>
      <c r="K101" s="21"/>
      <c r="L101" s="55"/>
      <c r="M101" s="12" t="s">
        <v>10</v>
      </c>
      <c r="N101" s="101">
        <v>17</v>
      </c>
      <c r="O101" s="16">
        <v>45</v>
      </c>
      <c r="P101" s="15">
        <f>0.238-0.014</f>
        <v>0.22399999999999998</v>
      </c>
      <c r="Q101" s="21">
        <v>40000</v>
      </c>
      <c r="R101" s="22"/>
      <c r="S101" s="12" t="s">
        <v>9</v>
      </c>
      <c r="T101" s="119" t="s">
        <v>160</v>
      </c>
      <c r="U101" s="14" t="s">
        <v>1</v>
      </c>
      <c r="V101" s="15">
        <v>4.69</v>
      </c>
      <c r="W101" s="21">
        <v>34000</v>
      </c>
      <c r="X101" s="22"/>
    </row>
    <row r="102" spans="1:24" ht="11.25" customHeight="1">
      <c r="A102" s="12" t="s">
        <v>9</v>
      </c>
      <c r="B102" s="38">
        <v>20</v>
      </c>
      <c r="C102" s="14" t="s">
        <v>72</v>
      </c>
      <c r="D102" s="15">
        <f>1.58-0.054-0.163-0.15-0.132-0.026-0.018-0.3-0.3-0.043</f>
        <v>0.3939999999999999</v>
      </c>
      <c r="E102" s="21">
        <v>32000</v>
      </c>
      <c r="F102" s="22"/>
      <c r="G102" s="12" t="s">
        <v>9</v>
      </c>
      <c r="H102" s="54">
        <v>64</v>
      </c>
      <c r="I102" s="16"/>
      <c r="J102" s="15">
        <f>0.196-0.026-0.04</f>
        <v>0.13</v>
      </c>
      <c r="K102" s="21">
        <v>36000</v>
      </c>
      <c r="L102" s="55"/>
      <c r="M102" s="12" t="s">
        <v>10</v>
      </c>
      <c r="N102" s="39">
        <v>18</v>
      </c>
      <c r="O102" s="14" t="s">
        <v>4</v>
      </c>
      <c r="P102" s="15">
        <f>0.17+0.06-0.16</f>
        <v>0.07</v>
      </c>
      <c r="Q102" s="21">
        <v>40000</v>
      </c>
      <c r="R102" s="22"/>
      <c r="S102" s="140" t="s">
        <v>27</v>
      </c>
      <c r="T102" s="141"/>
      <c r="U102" s="141"/>
      <c r="V102" s="141"/>
      <c r="W102" s="142"/>
      <c r="X102" s="22"/>
    </row>
    <row r="103" spans="1:24" ht="11.25" customHeight="1">
      <c r="A103" s="12" t="s">
        <v>9</v>
      </c>
      <c r="B103" s="52">
        <v>20</v>
      </c>
      <c r="C103" s="14" t="s">
        <v>0</v>
      </c>
      <c r="D103" s="15">
        <f>0.08-0.032</f>
        <v>0.048</v>
      </c>
      <c r="E103" s="21">
        <v>36000</v>
      </c>
      <c r="F103" s="22"/>
      <c r="G103" s="12" t="s">
        <v>9</v>
      </c>
      <c r="H103" s="52">
        <v>65</v>
      </c>
      <c r="I103" s="14" t="s">
        <v>50</v>
      </c>
      <c r="J103" s="15">
        <v>0.064</v>
      </c>
      <c r="K103" s="21">
        <v>36000</v>
      </c>
      <c r="L103" s="55"/>
      <c r="M103" s="12" t="s">
        <v>10</v>
      </c>
      <c r="N103" s="38">
        <v>19</v>
      </c>
      <c r="O103" s="14" t="s">
        <v>4</v>
      </c>
      <c r="P103" s="15">
        <f>4.028+0.773-0.23-0.024-0.108-0.3-0.012</f>
        <v>4.127</v>
      </c>
      <c r="Q103" s="21">
        <v>40000</v>
      </c>
      <c r="R103" s="22"/>
      <c r="S103" s="12" t="s">
        <v>9</v>
      </c>
      <c r="T103" s="32" t="s">
        <v>39</v>
      </c>
      <c r="U103" s="14" t="s">
        <v>13</v>
      </c>
      <c r="V103" s="15">
        <v>0.29</v>
      </c>
      <c r="W103" s="21">
        <v>32000</v>
      </c>
      <c r="X103" s="22"/>
    </row>
    <row r="104" spans="1:24" ht="11.25" customHeight="1">
      <c r="A104" s="12" t="s">
        <v>9</v>
      </c>
      <c r="B104" s="52">
        <v>20</v>
      </c>
      <c r="C104" s="14" t="s">
        <v>161</v>
      </c>
      <c r="D104" s="15">
        <f>1.15-0.01</f>
        <v>1.14</v>
      </c>
      <c r="E104" s="21">
        <v>36000</v>
      </c>
      <c r="F104" s="22"/>
      <c r="G104" s="12"/>
      <c r="H104" s="88"/>
      <c r="I104" s="16"/>
      <c r="J104" s="15"/>
      <c r="K104" s="21"/>
      <c r="L104" s="55"/>
      <c r="M104" s="12" t="s">
        <v>10</v>
      </c>
      <c r="N104" s="43">
        <v>19</v>
      </c>
      <c r="O104" s="14" t="s">
        <v>3</v>
      </c>
      <c r="P104" s="15">
        <f>0.66-0.582+0.018-0.05</f>
        <v>0.04600000000000007</v>
      </c>
      <c r="Q104" s="21">
        <v>40000</v>
      </c>
      <c r="R104" s="22"/>
      <c r="S104" s="12" t="s">
        <v>9</v>
      </c>
      <c r="T104" s="93" t="s">
        <v>127</v>
      </c>
      <c r="U104" s="14" t="s">
        <v>115</v>
      </c>
      <c r="V104" s="15">
        <v>4.9</v>
      </c>
      <c r="W104" s="21">
        <v>40000</v>
      </c>
      <c r="X104" s="22"/>
    </row>
    <row r="105" spans="1:24" ht="11.25" customHeight="1">
      <c r="A105" s="12" t="s">
        <v>9</v>
      </c>
      <c r="B105" s="52">
        <v>20</v>
      </c>
      <c r="C105" s="14" t="s">
        <v>13</v>
      </c>
      <c r="D105" s="15">
        <v>0.07</v>
      </c>
      <c r="E105" s="21">
        <v>36000</v>
      </c>
      <c r="F105" s="22"/>
      <c r="G105" s="12" t="s">
        <v>9</v>
      </c>
      <c r="H105" s="118">
        <v>70</v>
      </c>
      <c r="I105" s="16" t="s">
        <v>155</v>
      </c>
      <c r="J105" s="15">
        <f>0.61-0.084</f>
        <v>0.526</v>
      </c>
      <c r="K105" s="21">
        <v>36000</v>
      </c>
      <c r="L105" s="55"/>
      <c r="M105" s="12" t="s">
        <v>10</v>
      </c>
      <c r="N105" s="43">
        <v>19</v>
      </c>
      <c r="O105" s="14" t="s">
        <v>2</v>
      </c>
      <c r="P105" s="15">
        <f>0.1-0.02-0.024</f>
        <v>0.056</v>
      </c>
      <c r="Q105" s="21">
        <v>40000</v>
      </c>
      <c r="R105" s="22"/>
      <c r="S105" s="12" t="s">
        <v>9</v>
      </c>
      <c r="T105" s="33">
        <v>2</v>
      </c>
      <c r="U105" s="14" t="s">
        <v>13</v>
      </c>
      <c r="V105" s="15">
        <v>0.036</v>
      </c>
      <c r="W105" s="21">
        <v>32000</v>
      </c>
      <c r="X105" s="22"/>
    </row>
    <row r="106" spans="1:24" ht="11.25" customHeight="1">
      <c r="A106" s="12" t="s">
        <v>9</v>
      </c>
      <c r="B106" s="52">
        <v>20</v>
      </c>
      <c r="C106" s="14" t="s">
        <v>148</v>
      </c>
      <c r="D106" s="15">
        <v>0.248</v>
      </c>
      <c r="E106" s="21">
        <v>36000</v>
      </c>
      <c r="F106" s="22"/>
      <c r="G106" s="12" t="s">
        <v>9</v>
      </c>
      <c r="H106" s="52">
        <v>75</v>
      </c>
      <c r="I106" s="14" t="s">
        <v>119</v>
      </c>
      <c r="J106" s="15">
        <f>0.354-0.083</f>
        <v>0.27099999999999996</v>
      </c>
      <c r="K106" s="21">
        <v>36000</v>
      </c>
      <c r="L106" s="55"/>
      <c r="M106" s="12" t="s">
        <v>10</v>
      </c>
      <c r="N106" s="43">
        <v>22</v>
      </c>
      <c r="O106" s="14" t="s">
        <v>1</v>
      </c>
      <c r="P106" s="15">
        <v>0.098</v>
      </c>
      <c r="Q106" s="21">
        <v>40000</v>
      </c>
      <c r="R106" s="22"/>
      <c r="S106" s="12" t="s">
        <v>9</v>
      </c>
      <c r="T106" s="119">
        <v>3</v>
      </c>
      <c r="U106" s="14" t="s">
        <v>156</v>
      </c>
      <c r="V106" s="15">
        <f>34.72-19.854-1.25</f>
        <v>13.616</v>
      </c>
      <c r="W106" s="21" t="s">
        <v>145</v>
      </c>
      <c r="X106" s="22"/>
    </row>
    <row r="107" spans="1:24" ht="11.25" customHeight="1">
      <c r="A107" s="12" t="s">
        <v>9</v>
      </c>
      <c r="B107" s="118">
        <v>20</v>
      </c>
      <c r="C107" s="16" t="s">
        <v>154</v>
      </c>
      <c r="D107" s="15">
        <v>0.514</v>
      </c>
      <c r="E107" s="21">
        <v>36000</v>
      </c>
      <c r="F107" s="22"/>
      <c r="G107" s="12" t="s">
        <v>9</v>
      </c>
      <c r="H107" s="39">
        <v>75</v>
      </c>
      <c r="I107" s="14" t="s">
        <v>3</v>
      </c>
      <c r="J107" s="15">
        <v>0.174</v>
      </c>
      <c r="K107" s="21">
        <v>36000</v>
      </c>
      <c r="L107" s="55"/>
      <c r="M107" s="12" t="s">
        <v>10</v>
      </c>
      <c r="N107" s="39">
        <v>27</v>
      </c>
      <c r="O107" s="14"/>
      <c r="P107" s="15">
        <v>0.077</v>
      </c>
      <c r="Q107" s="21">
        <v>40000</v>
      </c>
      <c r="R107" s="22"/>
      <c r="S107" s="12" t="s">
        <v>9</v>
      </c>
      <c r="T107" s="81" t="s">
        <v>113</v>
      </c>
      <c r="U107" s="14"/>
      <c r="V107" s="15">
        <f>0.026-0.014</f>
        <v>0.011999999999999999</v>
      </c>
      <c r="W107" s="21">
        <v>34000</v>
      </c>
      <c r="X107" s="22"/>
    </row>
    <row r="108" spans="1:24" ht="11.25" customHeight="1">
      <c r="A108" s="12" t="s">
        <v>9</v>
      </c>
      <c r="B108" s="52" t="s">
        <v>75</v>
      </c>
      <c r="C108" s="14" t="s">
        <v>4</v>
      </c>
      <c r="D108" s="15">
        <f>0.67-0.033-0.1-0.016-0.02</f>
        <v>0.501</v>
      </c>
      <c r="E108" s="21">
        <v>36000</v>
      </c>
      <c r="F108" s="22"/>
      <c r="G108" s="12" t="s">
        <v>9</v>
      </c>
      <c r="H108" s="39">
        <v>75</v>
      </c>
      <c r="I108" s="14"/>
      <c r="J108" s="15">
        <v>0.042</v>
      </c>
      <c r="K108" s="21">
        <v>36000</v>
      </c>
      <c r="L108" s="55"/>
      <c r="M108" s="12" t="s">
        <v>10</v>
      </c>
      <c r="N108" s="39">
        <v>30</v>
      </c>
      <c r="O108" s="14" t="s">
        <v>1</v>
      </c>
      <c r="P108" s="15">
        <f>0.194-0.025</f>
        <v>0.169</v>
      </c>
      <c r="Q108" s="21">
        <v>40000</v>
      </c>
      <c r="R108" s="22"/>
      <c r="S108" s="12"/>
      <c r="T108" s="83" t="s">
        <v>158</v>
      </c>
      <c r="U108" s="14"/>
      <c r="V108" s="15">
        <v>0.548</v>
      </c>
      <c r="W108" s="21"/>
      <c r="X108" s="22"/>
    </row>
    <row r="109" spans="1:24" ht="11.25" customHeight="1">
      <c r="A109" s="12" t="s">
        <v>9</v>
      </c>
      <c r="B109" s="52">
        <v>21</v>
      </c>
      <c r="C109" s="14" t="s">
        <v>78</v>
      </c>
      <c r="D109" s="15">
        <f>0.326-0.016</f>
        <v>0.31</v>
      </c>
      <c r="E109" s="21">
        <v>32000</v>
      </c>
      <c r="F109" s="22"/>
      <c r="G109" s="12" t="s">
        <v>9</v>
      </c>
      <c r="H109" s="52">
        <v>80</v>
      </c>
      <c r="I109" s="14"/>
      <c r="J109" s="15">
        <f>0.504-0.1-0.132</f>
        <v>0.272</v>
      </c>
      <c r="K109" s="21">
        <v>36000</v>
      </c>
      <c r="L109" s="55"/>
      <c r="M109" s="12" t="s">
        <v>10</v>
      </c>
      <c r="N109" s="39">
        <v>32</v>
      </c>
      <c r="O109" s="14" t="s">
        <v>62</v>
      </c>
      <c r="P109" s="15">
        <f>0.23-0.042-0.084</f>
        <v>0.104</v>
      </c>
      <c r="Q109" s="21">
        <v>40000</v>
      </c>
      <c r="R109" s="22"/>
      <c r="S109" s="12" t="s">
        <v>9</v>
      </c>
      <c r="T109" s="83">
        <v>50</v>
      </c>
      <c r="U109" s="14"/>
      <c r="V109" s="15">
        <f>1.862-1.63-0.1</f>
        <v>0.1320000000000002</v>
      </c>
      <c r="W109" s="21">
        <v>30000</v>
      </c>
      <c r="X109" s="22"/>
    </row>
    <row r="110" spans="1:24" ht="11.25" customHeight="1">
      <c r="A110" s="12" t="s">
        <v>9</v>
      </c>
      <c r="B110" s="52">
        <v>21</v>
      </c>
      <c r="C110" s="14" t="s">
        <v>110</v>
      </c>
      <c r="D110" s="15">
        <v>2.84</v>
      </c>
      <c r="E110" s="21">
        <v>32000</v>
      </c>
      <c r="F110" s="22"/>
      <c r="G110" s="12" t="s">
        <v>9</v>
      </c>
      <c r="H110" s="52">
        <v>80</v>
      </c>
      <c r="I110" s="14"/>
      <c r="J110" s="15">
        <v>0.1</v>
      </c>
      <c r="K110" s="21">
        <v>36000</v>
      </c>
      <c r="L110" s="55"/>
      <c r="M110" s="12"/>
      <c r="N110" s="39"/>
      <c r="O110" s="14"/>
      <c r="P110" s="15"/>
      <c r="Q110" s="21"/>
      <c r="R110" s="22"/>
      <c r="S110" s="16"/>
      <c r="T110" s="28" t="s">
        <v>8</v>
      </c>
      <c r="U110" s="13"/>
      <c r="V110" s="15">
        <f>D111+J111+P111+V111</f>
        <v>530.8340000000002</v>
      </c>
      <c r="W110" s="21"/>
      <c r="X110" s="22"/>
    </row>
    <row r="111" spans="1:24" ht="11.25" customHeight="1">
      <c r="A111" s="12"/>
      <c r="B111" s="24"/>
      <c r="C111" s="25"/>
      <c r="D111" s="15">
        <f>SUM(D7:D110)</f>
        <v>82.39600000000002</v>
      </c>
      <c r="E111" s="15"/>
      <c r="F111" s="22"/>
      <c r="G111" s="12"/>
      <c r="H111" s="15"/>
      <c r="I111" s="15"/>
      <c r="J111" s="15">
        <f>SUM(J7:J110)</f>
        <v>145.50700000000003</v>
      </c>
      <c r="K111" s="15"/>
      <c r="L111" s="55"/>
      <c r="M111" s="12"/>
      <c r="N111" s="15"/>
      <c r="O111" s="15"/>
      <c r="P111" s="15">
        <f>SUM(P7:P110)</f>
        <v>168.6440000000001</v>
      </c>
      <c r="Q111" s="15"/>
      <c r="R111" s="22"/>
      <c r="S111" s="24"/>
      <c r="T111" s="24"/>
      <c r="U111" s="24"/>
      <c r="V111" s="15">
        <f>SUM(V7:V109)</f>
        <v>134.28700000000003</v>
      </c>
      <c r="W111" s="24"/>
      <c r="X111" s="22"/>
    </row>
    <row r="112" spans="1:24" ht="11.25" customHeight="1">
      <c r="A112" s="3"/>
      <c r="B112" s="3"/>
      <c r="C112" s="3"/>
      <c r="D112" s="3"/>
      <c r="E112" s="3"/>
      <c r="F112" s="22"/>
      <c r="L112" s="55"/>
      <c r="R112" s="22"/>
      <c r="X112" s="22"/>
    </row>
    <row r="113" spans="1:24" ht="11.25" customHeight="1">
      <c r="A113" s="3"/>
      <c r="B113" s="3"/>
      <c r="C113" s="3"/>
      <c r="D113" s="3"/>
      <c r="E113" s="3"/>
      <c r="F113" s="22"/>
      <c r="L113" s="55"/>
      <c r="R113" s="22"/>
      <c r="X113" s="22"/>
    </row>
    <row r="114" spans="1:24" ht="11.25" customHeight="1">
      <c r="A114" s="3"/>
      <c r="B114" s="3"/>
      <c r="C114" s="3"/>
      <c r="D114" s="3"/>
      <c r="E114" s="3"/>
      <c r="F114" s="22"/>
      <c r="L114" s="55"/>
      <c r="R114" s="22"/>
      <c r="X114" s="22"/>
    </row>
    <row r="115" spans="6:24" ht="11.25" customHeight="1">
      <c r="F115" s="22"/>
      <c r="L115" s="55"/>
      <c r="R115" s="22"/>
      <c r="X115" s="22"/>
    </row>
    <row r="116" spans="6:24" ht="11.25" customHeight="1">
      <c r="F116" s="22"/>
      <c r="L116" s="55"/>
      <c r="R116" s="22"/>
      <c r="X116" s="3"/>
    </row>
    <row r="117" spans="6:24" ht="11.25" customHeight="1">
      <c r="F117" s="22"/>
      <c r="L117" s="55"/>
      <c r="R117" s="22"/>
      <c r="X117" s="3"/>
    </row>
    <row r="118" spans="6:24" ht="11.25" customHeight="1">
      <c r="F118" s="22"/>
      <c r="L118" s="55"/>
      <c r="R118" s="22"/>
      <c r="X118" s="3"/>
    </row>
    <row r="119" spans="6:24" ht="11.25" customHeight="1">
      <c r="F119" s="22"/>
      <c r="L119" s="55"/>
      <c r="R119" s="22"/>
      <c r="X119" s="3"/>
    </row>
    <row r="120" spans="6:24" ht="11.25" customHeight="1">
      <c r="F120" s="22"/>
      <c r="L120" s="55"/>
      <c r="R120" s="22"/>
      <c r="X120" s="3"/>
    </row>
    <row r="121" spans="12:24" ht="11.25" customHeight="1">
      <c r="L121" s="55"/>
      <c r="R121" s="1"/>
      <c r="X121" s="3"/>
    </row>
    <row r="122" spans="18:24" ht="11.25" customHeight="1">
      <c r="R122" s="1"/>
      <c r="X122" s="3"/>
    </row>
    <row r="123" spans="18:24" ht="11.25" customHeight="1">
      <c r="R123" s="1"/>
      <c r="X123" s="3"/>
    </row>
    <row r="124" spans="18:24" ht="11.25" customHeight="1">
      <c r="R124" s="1"/>
      <c r="S124" s="8"/>
      <c r="W124" s="3"/>
      <c r="X124" s="3"/>
    </row>
    <row r="125" spans="18:24" ht="11.25" customHeight="1">
      <c r="R125" s="1"/>
      <c r="S125" s="8"/>
      <c r="W125" s="3"/>
      <c r="X125" s="3"/>
    </row>
    <row r="126" spans="18:24" ht="11.25" customHeight="1">
      <c r="R126" s="1"/>
      <c r="S126" s="8"/>
      <c r="W126" s="3"/>
      <c r="X126" s="3"/>
    </row>
    <row r="127" spans="19:24" ht="11.25" customHeight="1">
      <c r="S127" s="8"/>
      <c r="W127" s="3"/>
      <c r="X127" s="3"/>
    </row>
    <row r="128" spans="19:23" ht="11.25" customHeight="1">
      <c r="S128" s="8"/>
      <c r="W128" s="3"/>
    </row>
    <row r="129" spans="13:23" ht="11.25" customHeight="1">
      <c r="M129" s="8"/>
      <c r="Q129" s="3"/>
      <c r="S129" s="8"/>
      <c r="W129" s="3"/>
    </row>
    <row r="130" spans="13:23" ht="11.25" customHeight="1">
      <c r="M130" s="8"/>
      <c r="Q130" s="3"/>
      <c r="S130" s="8"/>
      <c r="W130" s="3"/>
    </row>
    <row r="131" spans="13:23" ht="11.25" customHeight="1">
      <c r="M131" s="8"/>
      <c r="Q131" s="3"/>
      <c r="S131" s="8"/>
      <c r="W131" s="3"/>
    </row>
    <row r="132" spans="13:23" ht="11.25" customHeight="1">
      <c r="M132" s="8"/>
      <c r="Q132" s="3"/>
      <c r="S132" s="8"/>
      <c r="W132" s="3"/>
    </row>
    <row r="133" spans="13:23" ht="11.25" customHeight="1">
      <c r="M133" s="8"/>
      <c r="Q133" s="3"/>
      <c r="S133" s="8"/>
      <c r="W133" s="3"/>
    </row>
    <row r="134" spans="13:23" ht="11.25" customHeight="1">
      <c r="M134" s="8"/>
      <c r="Q134" s="3"/>
      <c r="S134" s="8"/>
      <c r="W134" s="3"/>
    </row>
    <row r="135" spans="13:23" ht="11.25" customHeight="1">
      <c r="M135" s="8"/>
      <c r="Q135" s="3"/>
      <c r="S135" s="8"/>
      <c r="W135" s="3"/>
    </row>
    <row r="136" spans="13:23" ht="11.25" customHeight="1">
      <c r="M136" s="8"/>
      <c r="Q136" s="3"/>
      <c r="S136" s="8"/>
      <c r="W136" s="3"/>
    </row>
    <row r="137" spans="13:17" ht="11.25" customHeight="1">
      <c r="M137" s="8"/>
      <c r="Q137" s="3"/>
    </row>
    <row r="138" spans="13:17" ht="11.25" customHeight="1">
      <c r="M138" s="8"/>
      <c r="Q138" s="3"/>
    </row>
    <row r="139" spans="13:17" ht="11.25" customHeight="1">
      <c r="M139" s="8"/>
      <c r="Q139" s="3"/>
    </row>
    <row r="140" spans="13:17" ht="11.25" customHeight="1">
      <c r="M140" s="8"/>
      <c r="Q140" s="3"/>
    </row>
    <row r="141" spans="13:17" ht="11.25" customHeight="1">
      <c r="M141" s="8"/>
      <c r="Q141" s="3"/>
    </row>
    <row r="171" spans="7:11" ht="11.25" customHeight="1">
      <c r="G171" s="8"/>
      <c r="H171" s="9"/>
      <c r="K171" s="3"/>
    </row>
    <row r="172" spans="7:11" ht="11.25" customHeight="1">
      <c r="G172" s="8"/>
      <c r="H172" s="9"/>
      <c r="K172" s="3"/>
    </row>
    <row r="173" spans="7:11" ht="11.25" customHeight="1">
      <c r="G173" s="8"/>
      <c r="H173" s="9"/>
      <c r="K173" s="3"/>
    </row>
    <row r="174" spans="7:11" ht="11.25" customHeight="1">
      <c r="G174" s="8"/>
      <c r="H174" s="9"/>
      <c r="K174" s="3"/>
    </row>
    <row r="175" spans="7:11" ht="11.25" customHeight="1">
      <c r="G175" s="8"/>
      <c r="H175" s="9"/>
      <c r="K175" s="3"/>
    </row>
    <row r="176" spans="7:11" ht="11.25" customHeight="1">
      <c r="G176" s="8"/>
      <c r="H176" s="9"/>
      <c r="K176" s="3"/>
    </row>
    <row r="177" spans="7:11" ht="11.25" customHeight="1">
      <c r="G177" s="8"/>
      <c r="H177" s="9"/>
      <c r="K177" s="3"/>
    </row>
    <row r="178" spans="7:11" ht="11.25" customHeight="1">
      <c r="G178" s="8"/>
      <c r="H178" s="9"/>
      <c r="K178" s="3"/>
    </row>
    <row r="179" spans="7:11" ht="11.25" customHeight="1">
      <c r="G179" s="8"/>
      <c r="H179" s="9"/>
      <c r="K179" s="3"/>
    </row>
    <row r="180" spans="7:11" ht="11.25" customHeight="1">
      <c r="G180" s="8"/>
      <c r="H180" s="9"/>
      <c r="K180" s="3"/>
    </row>
    <row r="181" spans="7:11" ht="11.25" customHeight="1">
      <c r="G181" s="8"/>
      <c r="H181" s="9"/>
      <c r="K181" s="3"/>
    </row>
    <row r="182" spans="7:11" ht="11.25" customHeight="1">
      <c r="G182" s="8"/>
      <c r="H182" s="9"/>
      <c r="K182" s="3"/>
    </row>
    <row r="183" spans="7:11" ht="11.25" customHeight="1">
      <c r="G183" s="8"/>
      <c r="H183" s="9"/>
      <c r="K183" s="3"/>
    </row>
  </sheetData>
  <sheetProtection formatCells="0" formatColumns="0" formatRows="0" insertColumns="0" insertRows="0" insertHyperlinks="0" deleteColumns="0" deleteRows="0" sort="0" autoFilter="0" pivotTables="0"/>
  <mergeCells count="66">
    <mergeCell ref="S58:W58"/>
    <mergeCell ref="S89:W89"/>
    <mergeCell ref="M90:Q90"/>
    <mergeCell ref="V3:W3"/>
    <mergeCell ref="H56:H57"/>
    <mergeCell ref="I56:I57"/>
    <mergeCell ref="N56:N57"/>
    <mergeCell ref="J56:J57"/>
    <mergeCell ref="W56:W57"/>
    <mergeCell ref="T56:T57"/>
    <mergeCell ref="G55:K55"/>
    <mergeCell ref="S94:W94"/>
    <mergeCell ref="A58:E58"/>
    <mergeCell ref="P56:P57"/>
    <mergeCell ref="M56:M57"/>
    <mergeCell ref="S62:W62"/>
    <mergeCell ref="A56:A57"/>
    <mergeCell ref="B56:B57"/>
    <mergeCell ref="E56:E57"/>
    <mergeCell ref="D56:D57"/>
    <mergeCell ref="S78:W78"/>
    <mergeCell ref="S102:W102"/>
    <mergeCell ref="S68:W68"/>
    <mergeCell ref="S65:W65"/>
    <mergeCell ref="O56:O57"/>
    <mergeCell ref="G58:K58"/>
    <mergeCell ref="U56:U57"/>
    <mergeCell ref="Q56:Q57"/>
    <mergeCell ref="V56:V57"/>
    <mergeCell ref="S56:S57"/>
    <mergeCell ref="M58:Q58"/>
    <mergeCell ref="B55:E55"/>
    <mergeCell ref="M19:Q19"/>
    <mergeCell ref="G7:K7"/>
    <mergeCell ref="M55:Q55"/>
    <mergeCell ref="K56:K57"/>
    <mergeCell ref="G56:G57"/>
    <mergeCell ref="M7:Q7"/>
    <mergeCell ref="C56:C57"/>
    <mergeCell ref="A7:E7"/>
    <mergeCell ref="A6:W6"/>
    <mergeCell ref="N4:N5"/>
    <mergeCell ref="U4:U5"/>
    <mergeCell ref="H4:H5"/>
    <mergeCell ref="W4:W5"/>
    <mergeCell ref="Q4:Q5"/>
    <mergeCell ref="E4:E5"/>
    <mergeCell ref="A4:A5"/>
    <mergeCell ref="O4:O5"/>
    <mergeCell ref="I4:I5"/>
    <mergeCell ref="A1:W1"/>
    <mergeCell ref="A2:W2"/>
    <mergeCell ref="P4:P5"/>
    <mergeCell ref="D4:D5"/>
    <mergeCell ref="C4:C5"/>
    <mergeCell ref="V4:V5"/>
    <mergeCell ref="S24:W24"/>
    <mergeCell ref="A3:U3"/>
    <mergeCell ref="K4:K5"/>
    <mergeCell ref="S4:S5"/>
    <mergeCell ref="T4:T5"/>
    <mergeCell ref="M4:M5"/>
    <mergeCell ref="G4:G5"/>
    <mergeCell ref="B4:B5"/>
    <mergeCell ref="S7:W7"/>
    <mergeCell ref="J4:J5"/>
  </mergeCells>
  <printOptions/>
  <pageMargins left="0.7480314960629921" right="0.7480314960629921" top="0" bottom="0" header="0.5118110236220472" footer="0.5118110236220472"/>
  <pageSetup fitToHeight="0" fitToWidth="0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Q44"/>
  <sheetViews>
    <sheetView view="pageBreakPreview" zoomScale="60" zoomScalePageLayoutView="0" workbookViewId="0" topLeftCell="A1">
      <selection activeCell="N13" sqref="N13"/>
    </sheetView>
  </sheetViews>
  <sheetFormatPr defaultColWidth="9.00390625" defaultRowHeight="12.75"/>
  <cols>
    <col min="7" max="7" width="2.625" style="0" customWidth="1"/>
    <col min="13" max="13" width="2.00390625" style="0" customWidth="1"/>
  </cols>
  <sheetData>
    <row r="5" spans="2:12" ht="12.75">
      <c r="B5" s="12" t="s">
        <v>10</v>
      </c>
      <c r="C5" s="107">
        <v>12</v>
      </c>
      <c r="D5" s="14" t="s">
        <v>17</v>
      </c>
      <c r="E5" s="15">
        <v>2.964</v>
      </c>
      <c r="F5" s="21">
        <v>65000</v>
      </c>
      <c r="H5" s="12" t="s">
        <v>10</v>
      </c>
      <c r="I5" s="107">
        <v>10</v>
      </c>
      <c r="J5" s="14" t="s">
        <v>17</v>
      </c>
      <c r="K5" s="15">
        <v>0.832</v>
      </c>
      <c r="L5" s="21">
        <v>65000</v>
      </c>
    </row>
    <row r="6" spans="2:14" ht="12.75">
      <c r="B6" s="12" t="s">
        <v>10</v>
      </c>
      <c r="C6" s="107">
        <v>19</v>
      </c>
      <c r="D6" s="14" t="s">
        <v>143</v>
      </c>
      <c r="E6" s="15">
        <f>1.05+4.15+2.33</f>
        <v>7.53</v>
      </c>
      <c r="F6" s="21">
        <v>65000</v>
      </c>
      <c r="H6" s="12" t="s">
        <v>10</v>
      </c>
      <c r="I6" s="107">
        <v>10</v>
      </c>
      <c r="J6" s="14" t="s">
        <v>17</v>
      </c>
      <c r="K6" s="15">
        <v>0.25</v>
      </c>
      <c r="L6" s="21"/>
      <c r="N6" s="29">
        <f>SUM(K5:K6)</f>
        <v>1.0819999999999999</v>
      </c>
    </row>
    <row r="7" spans="2:12" ht="12.75">
      <c r="B7" s="12" t="s">
        <v>9</v>
      </c>
      <c r="C7" s="36">
        <v>12</v>
      </c>
      <c r="D7" s="14" t="s">
        <v>17</v>
      </c>
      <c r="E7" s="15">
        <v>3.404</v>
      </c>
      <c r="F7" s="21">
        <v>50000</v>
      </c>
      <c r="H7" s="12" t="s">
        <v>10</v>
      </c>
      <c r="I7" s="107">
        <v>12</v>
      </c>
      <c r="J7" s="14" t="s">
        <v>17</v>
      </c>
      <c r="K7" s="15">
        <v>2.964</v>
      </c>
      <c r="L7" s="21">
        <v>65000</v>
      </c>
    </row>
    <row r="8" spans="2:12" ht="12.75">
      <c r="B8" s="12" t="s">
        <v>9</v>
      </c>
      <c r="C8" s="107">
        <v>25.5</v>
      </c>
      <c r="D8" s="14" t="s">
        <v>17</v>
      </c>
      <c r="E8" s="15">
        <v>1.27</v>
      </c>
      <c r="F8" s="21">
        <v>50000</v>
      </c>
      <c r="H8" s="12" t="s">
        <v>10</v>
      </c>
      <c r="I8" s="107">
        <v>12</v>
      </c>
      <c r="J8" s="14" t="s">
        <v>17</v>
      </c>
      <c r="K8" s="15">
        <v>0.804</v>
      </c>
      <c r="L8" s="21"/>
    </row>
    <row r="9" spans="2:14" ht="12.75">
      <c r="B9" s="12" t="s">
        <v>9</v>
      </c>
      <c r="C9" s="107">
        <v>33</v>
      </c>
      <c r="D9" s="14" t="s">
        <v>4</v>
      </c>
      <c r="E9" s="15">
        <f>2.85+1.18</f>
        <v>4.03</v>
      </c>
      <c r="F9" s="21">
        <v>40000</v>
      </c>
      <c r="H9" s="12" t="s">
        <v>10</v>
      </c>
      <c r="I9" s="107">
        <v>12</v>
      </c>
      <c r="J9" s="14" t="s">
        <v>17</v>
      </c>
      <c r="K9" s="15">
        <v>1.12</v>
      </c>
      <c r="L9" s="21">
        <v>65000</v>
      </c>
      <c r="N9" s="29">
        <f>SUM(K7:K9)</f>
        <v>4.888</v>
      </c>
    </row>
    <row r="10" spans="8:12" ht="12.75">
      <c r="H10" s="111" t="s">
        <v>10</v>
      </c>
      <c r="I10" s="112">
        <v>13</v>
      </c>
      <c r="J10" s="114" t="s">
        <v>17</v>
      </c>
      <c r="K10" s="115">
        <v>0.36</v>
      </c>
      <c r="L10" s="117">
        <v>65000</v>
      </c>
    </row>
    <row r="11" spans="8:12" ht="12.75">
      <c r="H11" s="111" t="s">
        <v>10</v>
      </c>
      <c r="I11" s="112">
        <v>13</v>
      </c>
      <c r="J11" s="114" t="s">
        <v>143</v>
      </c>
      <c r="K11" s="115">
        <v>1.944</v>
      </c>
      <c r="L11" s="117">
        <v>65000</v>
      </c>
    </row>
    <row r="12" spans="8:12" ht="12.75">
      <c r="H12" s="111" t="s">
        <v>10</v>
      </c>
      <c r="I12" s="112">
        <v>17</v>
      </c>
      <c r="J12" s="114" t="s">
        <v>17</v>
      </c>
      <c r="K12" s="115">
        <f>2.66+1.284</f>
        <v>3.944</v>
      </c>
      <c r="L12" s="117">
        <v>65000</v>
      </c>
    </row>
    <row r="13" spans="5:12" ht="12.75">
      <c r="E13" s="29">
        <f>SUM(E5:E12)</f>
        <v>19.198</v>
      </c>
      <c r="H13" s="111" t="s">
        <v>10</v>
      </c>
      <c r="I13" s="112">
        <v>17</v>
      </c>
      <c r="J13" s="114" t="s">
        <v>17</v>
      </c>
      <c r="K13" s="115">
        <f>1.61+3.18</f>
        <v>4.79</v>
      </c>
      <c r="L13" s="117"/>
    </row>
    <row r="14" spans="2:12" ht="12.75">
      <c r="B14" s="12" t="s">
        <v>10</v>
      </c>
      <c r="C14" s="107">
        <v>13</v>
      </c>
      <c r="D14" s="14" t="s">
        <v>17</v>
      </c>
      <c r="E14" s="15">
        <v>0.36</v>
      </c>
      <c r="F14" s="21">
        <v>65000</v>
      </c>
      <c r="H14" s="12" t="s">
        <v>10</v>
      </c>
      <c r="I14" s="107">
        <v>19</v>
      </c>
      <c r="J14" s="14" t="s">
        <v>143</v>
      </c>
      <c r="K14" s="15">
        <f>1.05+4.15+2.33</f>
        <v>7.53</v>
      </c>
      <c r="L14" s="21">
        <v>65000</v>
      </c>
    </row>
    <row r="15" spans="2:12" ht="12.75">
      <c r="B15" s="12" t="s">
        <v>10</v>
      </c>
      <c r="C15" s="107">
        <v>13</v>
      </c>
      <c r="D15" s="14" t="s">
        <v>143</v>
      </c>
      <c r="E15" s="15">
        <v>1.944</v>
      </c>
      <c r="F15" s="21">
        <v>65000</v>
      </c>
      <c r="H15" s="12" t="s">
        <v>10</v>
      </c>
      <c r="I15" s="107">
        <v>19</v>
      </c>
      <c r="J15" s="14" t="s">
        <v>143</v>
      </c>
      <c r="K15" s="15">
        <v>2.97</v>
      </c>
      <c r="L15" s="21">
        <v>65000</v>
      </c>
    </row>
    <row r="16" spans="2:12" ht="12.75">
      <c r="B16" s="12" t="s">
        <v>10</v>
      </c>
      <c r="C16" s="107">
        <v>17</v>
      </c>
      <c r="D16" s="14" t="s">
        <v>17</v>
      </c>
      <c r="E16" s="15">
        <f>2.66+1.284</f>
        <v>3.944</v>
      </c>
      <c r="F16" s="21">
        <v>65000</v>
      </c>
      <c r="H16" s="12" t="s">
        <v>10</v>
      </c>
      <c r="I16" s="107">
        <v>19</v>
      </c>
      <c r="J16" s="14" t="s">
        <v>143</v>
      </c>
      <c r="K16" s="15">
        <f>2.41+2.14+2.26</f>
        <v>6.8100000000000005</v>
      </c>
      <c r="L16" s="21">
        <v>65000</v>
      </c>
    </row>
    <row r="17" spans="2:12" ht="12.75">
      <c r="B17" s="12" t="s">
        <v>9</v>
      </c>
      <c r="C17" s="36">
        <v>24</v>
      </c>
      <c r="D17" s="14" t="s">
        <v>17</v>
      </c>
      <c r="E17" s="15">
        <v>2.746</v>
      </c>
      <c r="F17" s="21">
        <v>50000</v>
      </c>
      <c r="H17" s="12" t="s">
        <v>10</v>
      </c>
      <c r="I17" s="107">
        <v>27</v>
      </c>
      <c r="J17" s="14" t="s">
        <v>17</v>
      </c>
      <c r="K17" s="15">
        <v>1.376</v>
      </c>
      <c r="L17" s="21">
        <v>65000</v>
      </c>
    </row>
    <row r="18" spans="2:12" ht="12.75">
      <c r="B18" s="12" t="s">
        <v>9</v>
      </c>
      <c r="C18" s="107">
        <v>30</v>
      </c>
      <c r="D18" s="14" t="s">
        <v>12</v>
      </c>
      <c r="E18" s="15">
        <f>3.72+3.346</f>
        <v>7.066000000000001</v>
      </c>
      <c r="F18" s="21">
        <v>38000</v>
      </c>
      <c r="H18" s="12" t="s">
        <v>10</v>
      </c>
      <c r="I18" s="107">
        <v>27</v>
      </c>
      <c r="J18" s="14" t="s">
        <v>17</v>
      </c>
      <c r="K18" s="15">
        <v>2.35</v>
      </c>
      <c r="L18" s="21"/>
    </row>
    <row r="19" spans="2:12" ht="12.75">
      <c r="B19" s="12" t="s">
        <v>9</v>
      </c>
      <c r="C19" s="107">
        <v>33</v>
      </c>
      <c r="D19" s="14" t="s">
        <v>4</v>
      </c>
      <c r="E19" s="15">
        <f>2.29+1.72</f>
        <v>4.01</v>
      </c>
      <c r="F19" s="21">
        <v>40000</v>
      </c>
      <c r="H19" s="12" t="s">
        <v>10</v>
      </c>
      <c r="I19" s="107">
        <v>32</v>
      </c>
      <c r="J19" s="14" t="s">
        <v>17</v>
      </c>
      <c r="K19" s="15">
        <v>1.56</v>
      </c>
      <c r="L19" s="21">
        <v>65000</v>
      </c>
    </row>
    <row r="20" spans="8:12" ht="12.75">
      <c r="H20" s="111" t="s">
        <v>9</v>
      </c>
      <c r="I20" s="113">
        <v>10</v>
      </c>
      <c r="J20" s="114" t="s">
        <v>2</v>
      </c>
      <c r="K20" s="115">
        <v>0.7</v>
      </c>
      <c r="L20" s="117"/>
    </row>
    <row r="21" spans="8:12" ht="12.75">
      <c r="H21" s="111" t="s">
        <v>9</v>
      </c>
      <c r="I21" s="113">
        <v>12</v>
      </c>
      <c r="J21" s="114" t="s">
        <v>17</v>
      </c>
      <c r="K21" s="115">
        <v>3.404</v>
      </c>
      <c r="L21" s="117">
        <v>50000</v>
      </c>
    </row>
    <row r="22" spans="8:12" ht="12.75">
      <c r="H22" s="111" t="s">
        <v>9</v>
      </c>
      <c r="I22" s="112">
        <v>12</v>
      </c>
      <c r="J22" s="114" t="s">
        <v>17</v>
      </c>
      <c r="K22" s="115">
        <f>1.82+2.2</f>
        <v>4.0200000000000005</v>
      </c>
      <c r="L22" s="117">
        <v>38000</v>
      </c>
    </row>
    <row r="23" spans="5:12" ht="12.75">
      <c r="E23" s="29">
        <f>SUM(E14:E22)</f>
        <v>20.07</v>
      </c>
      <c r="H23" s="111" t="s">
        <v>9</v>
      </c>
      <c r="I23" s="113">
        <v>14</v>
      </c>
      <c r="J23" s="114" t="s">
        <v>17</v>
      </c>
      <c r="K23" s="115">
        <v>2.95</v>
      </c>
      <c r="L23" s="117"/>
    </row>
    <row r="24" spans="2:12" ht="12.75">
      <c r="B24" s="12" t="s">
        <v>10</v>
      </c>
      <c r="C24" s="107">
        <v>10</v>
      </c>
      <c r="D24" s="14" t="s">
        <v>17</v>
      </c>
      <c r="E24" s="15">
        <v>0.832</v>
      </c>
      <c r="F24" s="21">
        <v>65000</v>
      </c>
      <c r="H24" s="12" t="s">
        <v>9</v>
      </c>
      <c r="I24" s="36">
        <v>24</v>
      </c>
      <c r="J24" s="14" t="s">
        <v>17</v>
      </c>
      <c r="K24" s="15">
        <v>2.746</v>
      </c>
      <c r="L24" s="21">
        <v>50000</v>
      </c>
    </row>
    <row r="25" spans="2:12" ht="12.75">
      <c r="B25" s="12" t="s">
        <v>10</v>
      </c>
      <c r="C25" s="107">
        <v>12</v>
      </c>
      <c r="D25" s="14" t="s">
        <v>17</v>
      </c>
      <c r="E25" s="15">
        <v>0.804</v>
      </c>
      <c r="F25" s="21"/>
      <c r="H25" s="12" t="s">
        <v>9</v>
      </c>
      <c r="I25" s="107">
        <v>25.5</v>
      </c>
      <c r="J25" s="14" t="s">
        <v>17</v>
      </c>
      <c r="K25" s="15">
        <v>1.27</v>
      </c>
      <c r="L25" s="21">
        <v>50000</v>
      </c>
    </row>
    <row r="26" spans="2:17" ht="12.75">
      <c r="B26" s="12" t="s">
        <v>10</v>
      </c>
      <c r="C26" s="107">
        <v>17</v>
      </c>
      <c r="D26" s="14" t="s">
        <v>17</v>
      </c>
      <c r="E26" s="15">
        <f>1.61+3.18</f>
        <v>4.79</v>
      </c>
      <c r="F26" s="21"/>
      <c r="H26" s="12" t="s">
        <v>9</v>
      </c>
      <c r="I26" s="107">
        <v>27</v>
      </c>
      <c r="J26" s="14" t="s">
        <v>143</v>
      </c>
      <c r="K26" s="15">
        <v>1.418</v>
      </c>
      <c r="L26" s="21">
        <v>38000</v>
      </c>
      <c r="Q26" s="29"/>
    </row>
    <row r="27" spans="2:12" ht="12.75">
      <c r="B27" s="12" t="s">
        <v>10</v>
      </c>
      <c r="C27" s="107">
        <v>19</v>
      </c>
      <c r="D27" s="14" t="s">
        <v>143</v>
      </c>
      <c r="E27" s="15">
        <v>2.97</v>
      </c>
      <c r="F27" s="21">
        <v>65000</v>
      </c>
      <c r="H27" s="12" t="s">
        <v>9</v>
      </c>
      <c r="I27" s="107">
        <v>30</v>
      </c>
      <c r="J27" s="14" t="s">
        <v>12</v>
      </c>
      <c r="K27" s="15">
        <f>3.72+3.346</f>
        <v>7.066000000000001</v>
      </c>
      <c r="L27" s="21">
        <v>38000</v>
      </c>
    </row>
    <row r="28" spans="2:12" ht="12.75">
      <c r="B28" s="12" t="s">
        <v>10</v>
      </c>
      <c r="C28" s="107">
        <v>27</v>
      </c>
      <c r="D28" s="14" t="s">
        <v>17</v>
      </c>
      <c r="E28" s="15">
        <v>1.376</v>
      </c>
      <c r="F28" s="21">
        <v>65000</v>
      </c>
      <c r="H28" s="12" t="s">
        <v>9</v>
      </c>
      <c r="I28" s="107">
        <v>33</v>
      </c>
      <c r="J28" s="14" t="s">
        <v>4</v>
      </c>
      <c r="K28" s="15">
        <f>2.85+1.18</f>
        <v>4.03</v>
      </c>
      <c r="L28" s="21">
        <v>40000</v>
      </c>
    </row>
    <row r="29" spans="2:12" ht="12.75">
      <c r="B29" s="12" t="s">
        <v>9</v>
      </c>
      <c r="C29" s="36">
        <v>10</v>
      </c>
      <c r="D29" s="14" t="s">
        <v>2</v>
      </c>
      <c r="E29" s="15">
        <v>0.7</v>
      </c>
      <c r="F29" s="21"/>
      <c r="H29" s="12" t="s">
        <v>9</v>
      </c>
      <c r="I29" s="107">
        <v>33</v>
      </c>
      <c r="J29" s="14" t="s">
        <v>4</v>
      </c>
      <c r="K29" s="15">
        <f>2.29+1.72</f>
        <v>4.01</v>
      </c>
      <c r="L29" s="21">
        <v>40000</v>
      </c>
    </row>
    <row r="30" spans="2:12" ht="12.75">
      <c r="B30" s="12" t="s">
        <v>9</v>
      </c>
      <c r="C30" s="107">
        <v>27</v>
      </c>
      <c r="D30" s="14" t="s">
        <v>143</v>
      </c>
      <c r="E30" s="15">
        <v>1.418</v>
      </c>
      <c r="F30" s="21">
        <v>38000</v>
      </c>
      <c r="H30" s="12" t="s">
        <v>9</v>
      </c>
      <c r="I30" s="107">
        <v>33</v>
      </c>
      <c r="J30" s="14" t="s">
        <v>4</v>
      </c>
      <c r="K30" s="15">
        <f>3.41+3.95</f>
        <v>7.36</v>
      </c>
      <c r="L30" s="21">
        <v>40000</v>
      </c>
    </row>
    <row r="31" spans="2:12" ht="12.75">
      <c r="B31" s="12" t="s">
        <v>9</v>
      </c>
      <c r="C31" s="107">
        <v>33</v>
      </c>
      <c r="D31" s="14" t="s">
        <v>4</v>
      </c>
      <c r="E31" s="15">
        <f>3.41+3.95</f>
        <v>7.36</v>
      </c>
      <c r="F31" s="21">
        <v>40000</v>
      </c>
      <c r="H31" s="110"/>
      <c r="I31" s="110"/>
      <c r="J31" s="110"/>
      <c r="K31" s="110"/>
      <c r="L31" s="110"/>
    </row>
    <row r="34" ht="12.75">
      <c r="K34" s="29">
        <f>SUM(K26:K33)</f>
        <v>23.884</v>
      </c>
    </row>
    <row r="35" ht="12.75">
      <c r="E35" s="29">
        <f>SUM(E24:E34)</f>
        <v>20.25</v>
      </c>
    </row>
    <row r="36" spans="2:12" ht="12.75">
      <c r="B36" s="12" t="s">
        <v>10</v>
      </c>
      <c r="C36" s="107">
        <v>10</v>
      </c>
      <c r="D36" s="14" t="s">
        <v>17</v>
      </c>
      <c r="E36" s="15">
        <v>0.25</v>
      </c>
      <c r="F36" s="21"/>
      <c r="H36" s="110"/>
      <c r="I36" s="110"/>
      <c r="J36" s="110"/>
      <c r="K36" s="110"/>
      <c r="L36" s="110"/>
    </row>
    <row r="37" spans="2:12" ht="12.75">
      <c r="B37" s="12" t="s">
        <v>10</v>
      </c>
      <c r="C37" s="107">
        <v>12</v>
      </c>
      <c r="D37" s="14" t="s">
        <v>17</v>
      </c>
      <c r="E37" s="15">
        <v>1.12</v>
      </c>
      <c r="F37" s="21">
        <v>65000</v>
      </c>
      <c r="H37" s="110"/>
      <c r="I37" s="110"/>
      <c r="J37" s="110"/>
      <c r="K37" s="110"/>
      <c r="L37" s="110"/>
    </row>
    <row r="38" spans="2:12" ht="12.75">
      <c r="B38" s="12" t="s">
        <v>10</v>
      </c>
      <c r="C38" s="107">
        <v>19</v>
      </c>
      <c r="D38" s="14" t="s">
        <v>143</v>
      </c>
      <c r="E38" s="15">
        <f>2.41+2.14+2.26</f>
        <v>6.8100000000000005</v>
      </c>
      <c r="F38" s="21">
        <v>65000</v>
      </c>
      <c r="H38" s="110"/>
      <c r="I38" s="110"/>
      <c r="J38" s="110"/>
      <c r="K38" s="116">
        <f>SUM(K29:K37)</f>
        <v>35.254000000000005</v>
      </c>
      <c r="L38" s="110"/>
    </row>
    <row r="39" spans="2:12" ht="12.75">
      <c r="B39" s="12" t="s">
        <v>10</v>
      </c>
      <c r="C39" s="107">
        <v>27</v>
      </c>
      <c r="D39" s="14" t="s">
        <v>17</v>
      </c>
      <c r="E39" s="15">
        <v>2.35</v>
      </c>
      <c r="F39" s="21"/>
      <c r="H39" s="110"/>
      <c r="I39" s="110"/>
      <c r="J39" s="110"/>
      <c r="K39" s="110"/>
      <c r="L39" s="110"/>
    </row>
    <row r="40" spans="2:12" ht="12.75">
      <c r="B40" s="12" t="s">
        <v>10</v>
      </c>
      <c r="C40" s="107">
        <v>32</v>
      </c>
      <c r="D40" s="14" t="s">
        <v>17</v>
      </c>
      <c r="E40" s="15">
        <v>1.56</v>
      </c>
      <c r="F40" s="21">
        <v>65000</v>
      </c>
      <c r="H40" s="110"/>
      <c r="I40" s="110"/>
      <c r="J40" s="110"/>
      <c r="K40" s="110"/>
      <c r="L40" s="110"/>
    </row>
    <row r="41" spans="2:12" ht="12.75">
      <c r="B41" s="12" t="s">
        <v>9</v>
      </c>
      <c r="C41" s="107">
        <v>12</v>
      </c>
      <c r="D41" s="14" t="s">
        <v>17</v>
      </c>
      <c r="E41" s="15">
        <f>1.82+2.2</f>
        <v>4.0200000000000005</v>
      </c>
      <c r="F41" s="21">
        <v>38000</v>
      </c>
      <c r="H41" s="110"/>
      <c r="I41" s="110"/>
      <c r="J41" s="110"/>
      <c r="K41" s="110"/>
      <c r="L41" s="110"/>
    </row>
    <row r="42" spans="2:12" ht="12.75">
      <c r="B42" s="12" t="s">
        <v>9</v>
      </c>
      <c r="C42" s="36">
        <v>14</v>
      </c>
      <c r="D42" s="14" t="s">
        <v>17</v>
      </c>
      <c r="E42" s="15">
        <v>2.95</v>
      </c>
      <c r="F42" s="21"/>
      <c r="H42" s="110"/>
      <c r="I42" s="110"/>
      <c r="J42" s="110"/>
      <c r="K42" s="116">
        <f>SUM(K31:K41)</f>
        <v>59.138000000000005</v>
      </c>
      <c r="L42" s="110"/>
    </row>
    <row r="44" ht="12.75">
      <c r="E44" s="29">
        <f>SUM(E36:E43)</f>
        <v>19.06</v>
      </c>
    </row>
  </sheetData>
  <sheetProtection/>
  <printOptions/>
  <pageMargins left="0.7" right="0.7" top="0.75" bottom="0.75" header="0.3" footer="0.3"/>
  <pageSetup horizontalDpi="600" verticalDpi="600" orientation="portrait" paperSize="9" scale="9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L21"/>
  <sheetViews>
    <sheetView zoomScalePageLayoutView="0" workbookViewId="0" topLeftCell="A1">
      <selection activeCell="B26" sqref="B26:F28"/>
    </sheetView>
  </sheetViews>
  <sheetFormatPr defaultColWidth="9.00390625" defaultRowHeight="12.75"/>
  <cols>
    <col min="2" max="2" width="5.00390625" style="0" customWidth="1"/>
    <col min="4" max="4" width="7.125" style="0" customWidth="1"/>
    <col min="5" max="5" width="8.125" style="0" customWidth="1"/>
    <col min="6" max="6" width="7.625" style="0" customWidth="1"/>
  </cols>
  <sheetData>
    <row r="3" spans="8:12" ht="12.75">
      <c r="H3" s="12" t="s">
        <v>9</v>
      </c>
      <c r="I3" s="52">
        <v>14</v>
      </c>
      <c r="J3" s="14" t="s">
        <v>1</v>
      </c>
      <c r="K3" s="15">
        <v>0.758</v>
      </c>
      <c r="L3" s="21">
        <v>36000</v>
      </c>
    </row>
    <row r="4" spans="8:12" ht="12.75">
      <c r="H4" s="12" t="s">
        <v>9</v>
      </c>
      <c r="I4" s="39">
        <v>14</v>
      </c>
      <c r="J4" s="14" t="s">
        <v>154</v>
      </c>
      <c r="K4" s="15">
        <v>0.5</v>
      </c>
      <c r="L4" s="21">
        <v>36000</v>
      </c>
    </row>
    <row r="5" spans="8:12" ht="12.75">
      <c r="H5" s="12" t="s">
        <v>9</v>
      </c>
      <c r="I5" s="118">
        <v>16</v>
      </c>
      <c r="J5" s="16" t="s">
        <v>154</v>
      </c>
      <c r="K5" s="15">
        <v>1.266</v>
      </c>
      <c r="L5" s="21">
        <v>36000</v>
      </c>
    </row>
    <row r="6" spans="8:12" ht="12.75">
      <c r="H6" s="12" t="s">
        <v>9</v>
      </c>
      <c r="I6" s="118">
        <v>18</v>
      </c>
      <c r="J6" s="16">
        <v>45</v>
      </c>
      <c r="K6" s="15">
        <f>1.14+0.11</f>
        <v>1.25</v>
      </c>
      <c r="L6" s="21">
        <v>36000</v>
      </c>
    </row>
    <row r="7" spans="8:12" ht="12.75">
      <c r="H7" s="12" t="s">
        <v>9</v>
      </c>
      <c r="I7" s="118">
        <v>20</v>
      </c>
      <c r="J7" s="16">
        <v>30</v>
      </c>
      <c r="K7" s="15">
        <f>0.61+0.85</f>
        <v>1.46</v>
      </c>
      <c r="L7" s="21">
        <v>36000</v>
      </c>
    </row>
    <row r="8" spans="8:12" ht="12.75">
      <c r="H8" s="12" t="s">
        <v>9</v>
      </c>
      <c r="I8" s="118">
        <v>20</v>
      </c>
      <c r="J8" s="16" t="s">
        <v>154</v>
      </c>
      <c r="K8" s="15">
        <v>0.514</v>
      </c>
      <c r="L8" s="21">
        <v>36000</v>
      </c>
    </row>
    <row r="9" spans="8:12" ht="12.75">
      <c r="H9" s="12" t="s">
        <v>9</v>
      </c>
      <c r="I9" s="118">
        <v>24</v>
      </c>
      <c r="J9" s="16">
        <v>45</v>
      </c>
      <c r="K9" s="15">
        <v>1.17</v>
      </c>
      <c r="L9" s="21">
        <v>36000</v>
      </c>
    </row>
    <row r="10" spans="8:12" ht="12.75">
      <c r="H10" s="12" t="s">
        <v>9</v>
      </c>
      <c r="I10" s="118">
        <v>25</v>
      </c>
      <c r="J10" s="14" t="s">
        <v>1</v>
      </c>
      <c r="K10" s="15">
        <v>0.408</v>
      </c>
      <c r="L10" s="21">
        <v>36000</v>
      </c>
    </row>
    <row r="15" spans="2:6" ht="12.75">
      <c r="B15" s="12"/>
      <c r="C15" s="118"/>
      <c r="D15" s="16"/>
      <c r="E15" s="15"/>
      <c r="F15" s="21"/>
    </row>
    <row r="16" spans="2:6" ht="12.75">
      <c r="B16" s="12"/>
      <c r="C16" s="52"/>
      <c r="D16" s="16"/>
      <c r="E16" s="15"/>
      <c r="F16" s="21"/>
    </row>
    <row r="19" spans="2:6" ht="12.75">
      <c r="B19" s="12"/>
      <c r="C19" s="52"/>
      <c r="D19" s="14"/>
      <c r="E19" s="15"/>
      <c r="F19" s="21"/>
    </row>
    <row r="20" spans="2:6" ht="12.75">
      <c r="B20" s="12"/>
      <c r="C20" s="118"/>
      <c r="D20" s="16"/>
      <c r="E20" s="15"/>
      <c r="F20" s="21"/>
    </row>
    <row r="21" spans="2:6" ht="12.75">
      <c r="B21" s="12"/>
      <c r="C21" s="118"/>
      <c r="D21" s="16"/>
      <c r="E21" s="15"/>
      <c r="F21" s="2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6384" width="9.125" style="104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Sergey</cp:lastModifiedBy>
  <cp:lastPrinted>2018-04-10T05:42:08Z</cp:lastPrinted>
  <dcterms:created xsi:type="dcterms:W3CDTF">2007-12-13T12:13:06Z</dcterms:created>
  <dcterms:modified xsi:type="dcterms:W3CDTF">2018-04-10T09:52:03Z</dcterms:modified>
  <cp:category/>
  <cp:version/>
  <cp:contentType/>
  <cp:contentStatus/>
</cp:coreProperties>
</file>