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60" yWindow="1290" windowWidth="15480" windowHeight="111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12" i="1" l="1"/>
  <c r="K25" i="1"/>
  <c r="H42" i="1" l="1"/>
  <c r="H41" i="1"/>
  <c r="H40" i="1"/>
  <c r="H39" i="1"/>
  <c r="K29" i="1"/>
  <c r="K28" i="1"/>
  <c r="K27" i="1"/>
  <c r="K26" i="1"/>
  <c r="K24" i="1"/>
  <c r="K23" i="1"/>
  <c r="K22" i="1"/>
  <c r="K21" i="1"/>
  <c r="K20" i="1"/>
  <c r="K47" i="1"/>
  <c r="K46" i="1"/>
  <c r="K45" i="1"/>
  <c r="K44" i="1"/>
  <c r="K43" i="1"/>
  <c r="K40" i="1"/>
  <c r="K41" i="1"/>
  <c r="K39" i="1"/>
  <c r="K38" i="1"/>
  <c r="K37" i="1"/>
  <c r="K36" i="1"/>
  <c r="K35" i="1"/>
  <c r="K34" i="1"/>
  <c r="K33" i="1"/>
  <c r="K32" i="1"/>
  <c r="K31" i="1"/>
  <c r="K18" i="1"/>
  <c r="K17" i="1"/>
  <c r="K16" i="1"/>
  <c r="K15" i="1"/>
  <c r="K14" i="1"/>
  <c r="K13" i="1"/>
  <c r="K12" i="1"/>
  <c r="K11" i="1"/>
  <c r="H46" i="1"/>
  <c r="H45" i="1"/>
  <c r="H44" i="1"/>
  <c r="H37" i="1"/>
  <c r="H36" i="1"/>
  <c r="H31" i="1"/>
  <c r="H30" i="1"/>
  <c r="H29" i="1"/>
  <c r="H15" i="1"/>
  <c r="H14" i="1"/>
  <c r="H13" i="1"/>
  <c r="H12" i="1"/>
  <c r="H11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0" i="1"/>
  <c r="E19" i="1"/>
  <c r="E18" i="1"/>
  <c r="E17" i="1"/>
  <c r="E16" i="1"/>
  <c r="E15" i="1"/>
  <c r="E14" i="1"/>
  <c r="E13" i="1"/>
  <c r="E12" i="1"/>
  <c r="E11" i="1"/>
  <c r="B47" i="1"/>
  <c r="B46" i="1"/>
  <c r="B45" i="1"/>
  <c r="B44" i="1"/>
  <c r="B43" i="1"/>
  <c r="B42" i="1"/>
  <c r="B41" i="1"/>
  <c r="B40" i="1"/>
  <c r="B39" i="1"/>
  <c r="B28" i="1"/>
  <c r="B27" i="1"/>
  <c r="B26" i="1"/>
  <c r="B25" i="1"/>
  <c r="B23" i="1"/>
  <c r="B22" i="1"/>
  <c r="B21" i="1"/>
  <c r="B20" i="1"/>
  <c r="B19" i="1"/>
  <c r="B18" i="1"/>
  <c r="B16" i="1"/>
  <c r="B15" i="1"/>
  <c r="B14" i="1"/>
  <c r="B13" i="1"/>
  <c r="B11" i="1"/>
</calcChain>
</file>

<file path=xl/sharedStrings.xml><?xml version="1.0" encoding="utf-8"?>
<sst xmlns="http://schemas.openxmlformats.org/spreadsheetml/2006/main" count="140" uniqueCount="119">
  <si>
    <t>Диаметр, стенка</t>
  </si>
  <si>
    <t>Цена оптовая</t>
  </si>
  <si>
    <t xml:space="preserve">Трубы ВГП ГОСТ 3262-75 </t>
  </si>
  <si>
    <t>15х2,8</t>
  </si>
  <si>
    <t>20х2,8</t>
  </si>
  <si>
    <t>25х3,2</t>
  </si>
  <si>
    <t>32х3,2</t>
  </si>
  <si>
    <t>40х3,5</t>
  </si>
  <si>
    <t>50х3,5</t>
  </si>
  <si>
    <t xml:space="preserve">Трубы э/св ГОСТ 10704-91 </t>
  </si>
  <si>
    <t>57х3.5</t>
  </si>
  <si>
    <t>76х3,5</t>
  </si>
  <si>
    <t>89x3,5</t>
  </si>
  <si>
    <t>108х3,5</t>
  </si>
  <si>
    <t>108х4,0</t>
  </si>
  <si>
    <t>114х4,5</t>
  </si>
  <si>
    <t>133х4,5</t>
  </si>
  <si>
    <t>159х4,5</t>
  </si>
  <si>
    <t>Трубы профильные</t>
  </si>
  <si>
    <t>15х15х1,5</t>
  </si>
  <si>
    <t>20х20х1,5</t>
  </si>
  <si>
    <t>25х25х1,5</t>
  </si>
  <si>
    <t>30х15х1,5</t>
  </si>
  <si>
    <t>40х20х1,5</t>
  </si>
  <si>
    <t>40х25х1,5</t>
  </si>
  <si>
    <t>40х40х1,5</t>
  </si>
  <si>
    <t>50х25х1,5</t>
  </si>
  <si>
    <t>100х100х4</t>
  </si>
  <si>
    <t>30х30х1,5</t>
  </si>
  <si>
    <t>20х20х2</t>
  </si>
  <si>
    <t>25х25х2</t>
  </si>
  <si>
    <t>30х30х2</t>
  </si>
  <si>
    <t>40х20х2</t>
  </si>
  <si>
    <t>40х25х2</t>
  </si>
  <si>
    <t>40х40х2</t>
  </si>
  <si>
    <t>50х25х2</t>
  </si>
  <si>
    <t>50х50х2</t>
  </si>
  <si>
    <t>60х30х2</t>
  </si>
  <si>
    <t>80х80х3</t>
  </si>
  <si>
    <t>80х80х4</t>
  </si>
  <si>
    <t>100х100х3</t>
  </si>
  <si>
    <t>Размер</t>
  </si>
  <si>
    <t>Лист холоднокатанный</t>
  </si>
  <si>
    <t>Лист рифленный</t>
  </si>
  <si>
    <t>Лист ПВЛ</t>
  </si>
  <si>
    <t>Трубы ВГП  оцинкованные</t>
  </si>
  <si>
    <t>Трубы э/св оцинкованные</t>
  </si>
  <si>
    <t>Лист оцинкованный</t>
  </si>
  <si>
    <t>Полоса</t>
  </si>
  <si>
    <t>Квадрат</t>
  </si>
  <si>
    <t>т/ф: (4872)33-55-20; 35-20-11; 35-58-53; 33-46-97</t>
  </si>
  <si>
    <r>
      <rPr>
        <b/>
        <sz val="14"/>
        <color indexed="8"/>
        <rFont val="Arial"/>
        <family val="2"/>
        <charset val="204"/>
      </rPr>
      <t>Склад</t>
    </r>
    <r>
      <rPr>
        <sz val="14"/>
        <color indexed="8"/>
        <rFont val="Arial"/>
        <family val="2"/>
        <charset val="204"/>
      </rPr>
      <t>: г.Тула ул. Николая Островского д. 63</t>
    </r>
  </si>
  <si>
    <r>
      <rPr>
        <b/>
        <sz val="14"/>
        <color indexed="8"/>
        <rFont val="Arial"/>
        <family val="2"/>
        <charset val="204"/>
      </rPr>
      <t>Офис</t>
    </r>
    <r>
      <rPr>
        <sz val="14"/>
        <color indexed="8"/>
        <rFont val="Arial"/>
        <family val="2"/>
        <charset val="204"/>
      </rPr>
      <t>: г.Тула ул.Городской переулок 17А</t>
    </r>
  </si>
  <si>
    <t xml:space="preserve">Прайс-Лист </t>
  </si>
  <si>
    <t>Осуществляем доставку товара собственным атотранспортом.</t>
  </si>
  <si>
    <t>Оказываем услуги резки и ручной погрузки в крытый автомобиль.</t>
  </si>
  <si>
    <t>При больших объемах индивидуальные цены.</t>
  </si>
  <si>
    <t>Уголок равнополочный</t>
  </si>
  <si>
    <t>25х4</t>
  </si>
  <si>
    <t>32х4</t>
  </si>
  <si>
    <t>35х4</t>
  </si>
  <si>
    <t>40х4</t>
  </si>
  <si>
    <t>50х5</t>
  </si>
  <si>
    <t>20х4</t>
  </si>
  <si>
    <t>Швеллер</t>
  </si>
  <si>
    <t>Круг ст3</t>
  </si>
  <si>
    <t>102-108</t>
  </si>
  <si>
    <t>20Б1</t>
  </si>
  <si>
    <t>25Б1</t>
  </si>
  <si>
    <t>Балки горячекатанные</t>
  </si>
  <si>
    <t xml:space="preserve">Трубы б/у, восстановленные и лежалые
Профнастил и доборные элементы к ним
Бетон, тротуарная плитка, дорожные бордюры
</t>
  </si>
  <si>
    <t>80х80х2</t>
  </si>
  <si>
    <t>100х100х5</t>
  </si>
  <si>
    <t xml:space="preserve">       С    Уважением    Ваш    персональный    менеджер:</t>
  </si>
  <si>
    <t>35К1</t>
  </si>
  <si>
    <t>35Ш1</t>
  </si>
  <si>
    <t>406 / 408</t>
  </si>
  <si>
    <t>506 / 508,510</t>
  </si>
  <si>
    <t>120х120х4</t>
  </si>
  <si>
    <t>140х140х5</t>
  </si>
  <si>
    <t>Трубы бесшовные  г \ д</t>
  </si>
  <si>
    <t>Арматура (А500с)</t>
  </si>
  <si>
    <t>Цена за метр</t>
  </si>
  <si>
    <t>219х6</t>
  </si>
  <si>
    <t>273х6</t>
  </si>
  <si>
    <t>60х40х2</t>
  </si>
  <si>
    <t>60х60х2</t>
  </si>
  <si>
    <t>80х40х2</t>
  </si>
  <si>
    <t>100х50х3</t>
  </si>
  <si>
    <t>Цена за лист</t>
  </si>
  <si>
    <t>6</t>
  </si>
  <si>
    <t>8</t>
  </si>
  <si>
    <t>63х5</t>
  </si>
  <si>
    <t>75х5</t>
  </si>
  <si>
    <t>80х7</t>
  </si>
  <si>
    <t>90х6</t>
  </si>
  <si>
    <t>100х7</t>
  </si>
  <si>
    <t>125х8</t>
  </si>
  <si>
    <t xml:space="preserve">             Безграничный ресурс  Ваших   возможностей</t>
  </si>
  <si>
    <t>ООО Торговая компания "МеталлРесурс"</t>
  </si>
  <si>
    <t>договор</t>
  </si>
  <si>
    <t>14-16</t>
  </si>
  <si>
    <t>Лист г/к</t>
  </si>
  <si>
    <t>ст.3</t>
  </si>
  <si>
    <t>ст.09г2с</t>
  </si>
  <si>
    <t>30Ш1</t>
  </si>
  <si>
    <t>40Ш1</t>
  </si>
  <si>
    <t>20Ш1</t>
  </si>
  <si>
    <t>25Ш1</t>
  </si>
  <si>
    <t>30Б1</t>
  </si>
  <si>
    <t>35Б1</t>
  </si>
  <si>
    <t>40Б1</t>
  </si>
  <si>
    <t>20К1</t>
  </si>
  <si>
    <t>25К1</t>
  </si>
  <si>
    <t>30К1</t>
  </si>
  <si>
    <t>40К1</t>
  </si>
  <si>
    <t xml:space="preserve">                  Доб.______ФИО_______________</t>
  </si>
  <si>
    <t>т/ф: (4872) 52-66-71</t>
  </si>
  <si>
    <t>от15.05.2018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</si>
</sst>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_р_._-;_-@_-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18"/>
      <color indexed="8"/>
      <name val="Calibri"/>
      <family val="2"/>
      <charset val="204"/>
    </font>
    <font>
      <b/>
      <sz val="19"/>
      <color indexed="8"/>
      <name val="Arial"/>
      <family val="2"/>
      <charset val="204"/>
    </font>
    <font>
      <sz val="19"/>
      <color indexed="8"/>
      <name val="Arial"/>
      <family val="2"/>
      <charset val="204"/>
    </font>
    <font>
      <sz val="19"/>
      <color indexed="8"/>
      <name val="Calibri"/>
      <family val="2"/>
      <charset val="204"/>
    </font>
    <font>
      <i/>
      <sz val="22"/>
      <color indexed="8"/>
      <name val="Arial Black"/>
      <family val="2"/>
      <charset val="204"/>
    </font>
    <font>
      <b/>
      <u/>
      <sz val="10"/>
      <color indexed="8"/>
      <name val="Calibri"/>
      <family val="2"/>
      <charset val="204"/>
    </font>
    <font>
      <i/>
      <sz val="19"/>
      <color indexed="8"/>
      <name val="Arial Black"/>
      <family val="2"/>
      <charset val="204"/>
    </font>
    <font>
      <sz val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28"/>
      <color indexed="8"/>
      <name val="Calibri"/>
      <family val="2"/>
      <charset val="204"/>
    </font>
    <font>
      <sz val="28"/>
      <color indexed="8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2" fillId="0" borderId="7" xfId="4" applyFont="1" applyFill="1" applyBorder="1" applyAlignment="1">
      <alignment horizontal="center"/>
    </xf>
    <xf numFmtId="0" fontId="2" fillId="0" borderId="9" xfId="4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4" fontId="12" fillId="0" borderId="0" xfId="0" applyNumberFormat="1" applyFont="1" applyAlignment="1">
      <alignment vertical="center"/>
    </xf>
    <xf numFmtId="0" fontId="10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26" fillId="0" borderId="3" xfId="2" applyNumberFormat="1" applyFont="1" applyFill="1" applyBorder="1" applyAlignment="1"/>
    <xf numFmtId="164" fontId="26" fillId="0" borderId="3" xfId="1" applyNumberFormat="1" applyFont="1" applyFill="1" applyBorder="1" applyAlignment="1"/>
    <xf numFmtId="0" fontId="26" fillId="0" borderId="11" xfId="1" applyFont="1" applyFill="1" applyBorder="1" applyAlignment="1">
      <alignment horizontal="center"/>
    </xf>
    <xf numFmtId="0" fontId="26" fillId="0" borderId="10" xfId="1" applyNumberFormat="1" applyFont="1" applyFill="1" applyBorder="1" applyAlignment="1">
      <alignment horizontal="center"/>
    </xf>
    <xf numFmtId="164" fontId="26" fillId="0" borderId="10" xfId="1" applyNumberFormat="1" applyFont="1" applyFill="1" applyBorder="1" applyAlignment="1"/>
    <xf numFmtId="2" fontId="26" fillId="0" borderId="5" xfId="2" applyNumberFormat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/>
    </xf>
    <xf numFmtId="0" fontId="26" fillId="0" borderId="7" xfId="2" applyFont="1" applyFill="1" applyBorder="1" applyAlignment="1">
      <alignment horizontal="center"/>
    </xf>
    <xf numFmtId="0" fontId="26" fillId="0" borderId="8" xfId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8" xfId="2" applyFont="1" applyFill="1" applyBorder="1" applyAlignment="1">
      <alignment horizontal="center"/>
    </xf>
    <xf numFmtId="0" fontId="26" fillId="0" borderId="7" xfId="3" applyFont="1" applyBorder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0" fontId="26" fillId="0" borderId="8" xfId="3" applyFont="1" applyFill="1" applyBorder="1" applyAlignment="1">
      <alignment horizontal="center"/>
    </xf>
    <xf numFmtId="0" fontId="26" fillId="0" borderId="9" xfId="3" applyFont="1" applyFill="1" applyBorder="1" applyAlignment="1">
      <alignment horizontal="center"/>
    </xf>
    <xf numFmtId="164" fontId="26" fillId="0" borderId="12" xfId="1" applyNumberFormat="1" applyFont="1" applyFill="1" applyBorder="1" applyAlignment="1"/>
    <xf numFmtId="0" fontId="0" fillId="0" borderId="6" xfId="0" applyFont="1" applyBorder="1" applyAlignment="1">
      <alignment horizontal="center"/>
    </xf>
    <xf numFmtId="0" fontId="26" fillId="0" borderId="8" xfId="0" applyNumberFormat="1" applyFont="1" applyBorder="1" applyAlignment="1">
      <alignment horizontal="center"/>
    </xf>
    <xf numFmtId="1" fontId="26" fillId="0" borderId="7" xfId="0" applyNumberFormat="1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26" fillId="0" borderId="10" xfId="1" applyNumberFormat="1" applyFont="1" applyFill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/>
    </xf>
    <xf numFmtId="2" fontId="26" fillId="0" borderId="10" xfId="2" applyNumberFormat="1" applyFont="1" applyFill="1" applyBorder="1" applyAlignment="1">
      <alignment horizontal="center"/>
    </xf>
    <xf numFmtId="2" fontId="26" fillId="0" borderId="10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" fontId="2" fillId="0" borderId="5" xfId="2" applyNumberFormat="1" applyFont="1" applyFill="1" applyBorder="1" applyAlignment="1">
      <alignment horizontal="center" vertical="center"/>
    </xf>
    <xf numFmtId="2" fontId="2" fillId="0" borderId="10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/>
    <xf numFmtId="0" fontId="2" fillId="0" borderId="7" xfId="2" applyFont="1" applyFill="1" applyBorder="1" applyAlignment="1">
      <alignment horizontal="center"/>
    </xf>
    <xf numFmtId="2" fontId="25" fillId="0" borderId="12" xfId="0" applyNumberFormat="1" applyFont="1" applyBorder="1" applyAlignment="1">
      <alignment horizontal="center"/>
    </xf>
    <xf numFmtId="2" fontId="28" fillId="0" borderId="12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8" fillId="0" borderId="2" xfId="0" applyNumberFormat="1" applyFont="1" applyBorder="1" applyAlignment="1">
      <alignment horizontal="center"/>
    </xf>
    <xf numFmtId="2" fontId="26" fillId="0" borderId="12" xfId="0" applyNumberFormat="1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2" xfId="1" applyNumberFormat="1" applyFont="1" applyFill="1" applyBorder="1" applyAlignment="1">
      <alignment horizontal="center"/>
    </xf>
    <xf numFmtId="2" fontId="2" fillId="0" borderId="2" xfId="1" applyNumberFormat="1" applyFont="1" applyFill="1" applyBorder="1" applyAlignment="1">
      <alignment horizontal="center"/>
    </xf>
    <xf numFmtId="2" fontId="26" fillId="0" borderId="12" xfId="1" applyNumberFormat="1" applyFont="1" applyFill="1" applyBorder="1" applyAlignment="1">
      <alignment horizontal="center"/>
    </xf>
    <xf numFmtId="2" fontId="26" fillId="0" borderId="2" xfId="1" applyNumberFormat="1" applyFont="1" applyFill="1" applyBorder="1" applyAlignment="1">
      <alignment horizontal="center"/>
    </xf>
    <xf numFmtId="164" fontId="26" fillId="0" borderId="33" xfId="3" applyNumberFormat="1" applyFont="1" applyFill="1" applyBorder="1" applyAlignment="1"/>
    <xf numFmtId="2" fontId="26" fillId="0" borderId="12" xfId="2" applyNumberFormat="1" applyFont="1" applyFill="1" applyBorder="1" applyAlignment="1">
      <alignment horizontal="center"/>
    </xf>
    <xf numFmtId="2" fontId="26" fillId="0" borderId="2" xfId="2" applyNumberFormat="1" applyFont="1" applyFill="1" applyBorder="1" applyAlignment="1">
      <alignment horizontal="center"/>
    </xf>
    <xf numFmtId="0" fontId="26" fillId="0" borderId="12" xfId="1" applyNumberFormat="1" applyFont="1" applyFill="1" applyBorder="1" applyAlignment="1">
      <alignment horizontal="center"/>
    </xf>
    <xf numFmtId="0" fontId="26" fillId="0" borderId="2" xfId="1" applyNumberFormat="1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2" fontId="24" fillId="0" borderId="12" xfId="0" applyNumberFormat="1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2" fontId="24" fillId="0" borderId="10" xfId="0" applyNumberFormat="1" applyFont="1" applyFill="1" applyBorder="1" applyAlignment="1">
      <alignment horizontal="center"/>
    </xf>
    <xf numFmtId="2" fontId="28" fillId="0" borderId="34" xfId="0" applyNumberFormat="1" applyFont="1" applyFill="1" applyBorder="1" applyAlignment="1">
      <alignment horizontal="center"/>
    </xf>
    <xf numFmtId="2" fontId="28" fillId="0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29" fillId="2" borderId="36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0" fillId="2" borderId="15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21" fillId="2" borderId="15" xfId="2" applyFont="1" applyFill="1" applyBorder="1" applyAlignment="1">
      <alignment horizontal="center" vertical="center"/>
    </xf>
    <xf numFmtId="0" fontId="22" fillId="2" borderId="16" xfId="2" applyFont="1" applyFill="1" applyBorder="1" applyAlignment="1">
      <alignment horizontal="center" vertical="center"/>
    </xf>
    <xf numFmtId="0" fontId="22" fillId="2" borderId="17" xfId="2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/>
    </xf>
    <xf numFmtId="0" fontId="21" fillId="2" borderId="16" xfId="1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1" fillId="2" borderId="16" xfId="2" applyFont="1" applyFill="1" applyBorder="1" applyAlignment="1">
      <alignment horizontal="center" vertical="center"/>
    </xf>
    <xf numFmtId="0" fontId="21" fillId="2" borderId="17" xfId="2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1" fillId="2" borderId="15" xfId="4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0" fontId="21" fillId="2" borderId="24" xfId="0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27" fillId="2" borderId="24" xfId="0" applyFont="1" applyFill="1" applyBorder="1" applyAlignment="1">
      <alignment horizontal="center"/>
    </xf>
    <xf numFmtId="0" fontId="27" fillId="2" borderId="25" xfId="0" applyFont="1" applyFill="1" applyBorder="1" applyAlignment="1">
      <alignment horizontal="center"/>
    </xf>
    <xf numFmtId="0" fontId="29" fillId="2" borderId="15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3" fontId="24" fillId="0" borderId="28" xfId="0" applyNumberFormat="1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3" fontId="24" fillId="0" borderId="13" xfId="0" applyNumberFormat="1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3" fontId="24" fillId="0" borderId="30" xfId="0" applyNumberFormat="1" applyFont="1" applyBorder="1" applyAlignment="1">
      <alignment horizontal="center"/>
    </xf>
    <xf numFmtId="0" fontId="25" fillId="0" borderId="31" xfId="0" applyFont="1" applyBorder="1" applyAlignment="1">
      <alignment horizontal="center"/>
    </xf>
  </cellXfs>
  <cellStyles count="5">
    <cellStyle name="Обычный" xfId="0" builtinId="0"/>
    <cellStyle name="Обычный 2" xfId="1"/>
    <cellStyle name="Обычный 4" xfId="2"/>
    <cellStyle name="Обычный 5" xfId="3"/>
    <cellStyle name="Обычный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297252</xdr:colOff>
      <xdr:row>0</xdr:row>
      <xdr:rowOff>323850</xdr:rowOff>
    </xdr:from>
    <xdr:to>
      <xdr:col>2</xdr:col>
      <xdr:colOff>550332</xdr:colOff>
      <xdr:row>1</xdr:row>
      <xdr:rowOff>66675</xdr:rowOff>
    </xdr:to>
    <xdr:sp macro="" textlink="">
      <xdr:nvSpPr>
        <xdr:cNvPr id="2" name="WordArt 32"/>
        <xdr:cNvSpPr>
          <a:spLocks noChangeArrowheads="1" noChangeShapeType="1" noTextEdit="1"/>
        </xdr:cNvSpPr>
      </xdr:nvSpPr>
      <xdr:spPr bwMode="auto">
        <a:xfrm>
          <a:off x="297252" y="323850"/>
          <a:ext cx="1796130" cy="1619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ru-RU" sz="3600" b="1" i="1" kern="10" spc="0" normalizeH="1">
              <a:ln>
                <a:noFill/>
              </a:ln>
              <a:solidFill>
                <a:srgbClr val="FF0000"/>
              </a:solidFill>
              <a:effectLst/>
              <a:latin typeface="Arial Black"/>
            </a:rPr>
            <a:t>ТОРГОВАЯ КОМПАНИЯ</a:t>
          </a:r>
        </a:p>
      </xdr:txBody>
    </xdr:sp>
    <xdr:clientData/>
  </xdr:twoCellAnchor>
  <xdr:twoCellAnchor editAs="oneCell">
    <xdr:from>
      <xdr:col>0</xdr:col>
      <xdr:colOff>66675</xdr:colOff>
      <xdr:row>1</xdr:row>
      <xdr:rowOff>123825</xdr:rowOff>
    </xdr:from>
    <xdr:to>
      <xdr:col>2</xdr:col>
      <xdr:colOff>514350</xdr:colOff>
      <xdr:row>6</xdr:row>
      <xdr:rowOff>28575</xdr:rowOff>
    </xdr:to>
    <xdr:pic>
      <xdr:nvPicPr>
        <xdr:cNvPr id="1026" name="Рисунок 3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42925"/>
          <a:ext cx="18859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58</xdr:row>
      <xdr:rowOff>57150</xdr:rowOff>
    </xdr:from>
    <xdr:to>
      <xdr:col>0</xdr:col>
      <xdr:colOff>638175</xdr:colOff>
      <xdr:row>58</xdr:row>
      <xdr:rowOff>371475</xdr:rowOff>
    </xdr:to>
    <xdr:pic>
      <xdr:nvPicPr>
        <xdr:cNvPr id="1027" name="Рисунок 3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2030075"/>
          <a:ext cx="4762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2</xdr:row>
      <xdr:rowOff>9525</xdr:rowOff>
    </xdr:from>
    <xdr:to>
      <xdr:col>12</xdr:col>
      <xdr:colOff>9525</xdr:colOff>
      <xdr:row>6</xdr:row>
      <xdr:rowOff>114300</xdr:rowOff>
    </xdr:to>
    <xdr:pic>
      <xdr:nvPicPr>
        <xdr:cNvPr id="1028" name="Рисунок 3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48400" y="742950"/>
          <a:ext cx="1905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showWhiteSpace="0" view="pageLayout" zoomScaleNormal="90" workbookViewId="0">
      <selection activeCell="F16" sqref="F16"/>
    </sheetView>
  </sheetViews>
  <sheetFormatPr defaultRowHeight="15" x14ac:dyDescent="0.25"/>
  <cols>
    <col min="1" max="1" width="12" customWidth="1"/>
    <col min="2" max="3" width="9.5703125" customWidth="1"/>
    <col min="4" max="4" width="12" customWidth="1"/>
    <col min="5" max="6" width="9.5703125" customWidth="1"/>
    <col min="7" max="7" width="11" customWidth="1"/>
    <col min="8" max="9" width="9.5703125" customWidth="1"/>
    <col min="10" max="10" width="9" customWidth="1"/>
    <col min="11" max="11" width="12.42578125" customWidth="1"/>
    <col min="12" max="12" width="9.5703125" customWidth="1"/>
  </cols>
  <sheetData>
    <row r="1" spans="1:12" ht="33.6" customHeight="1" x14ac:dyDescent="0.55000000000000004">
      <c r="E1" s="13" t="s">
        <v>53</v>
      </c>
      <c r="F1" s="14"/>
      <c r="G1" s="14"/>
      <c r="H1" s="14"/>
      <c r="K1" s="11"/>
    </row>
    <row r="2" spans="1:12" ht="24.75" customHeight="1" x14ac:dyDescent="0.4">
      <c r="D2" s="7" t="s">
        <v>99</v>
      </c>
      <c r="E2" s="8"/>
      <c r="F2" s="8"/>
      <c r="G2" s="8"/>
      <c r="H2" s="8"/>
      <c r="I2" s="9"/>
      <c r="J2" s="9"/>
      <c r="K2" s="9" t="s">
        <v>118</v>
      </c>
    </row>
    <row r="3" spans="1:12" ht="18" x14ac:dyDescent="0.25">
      <c r="D3" s="5" t="s">
        <v>52</v>
      </c>
      <c r="E3" s="5"/>
      <c r="F3" s="5"/>
      <c r="G3" s="5"/>
      <c r="H3" s="5"/>
    </row>
    <row r="4" spans="1:12" ht="18" x14ac:dyDescent="0.25">
      <c r="D4" s="5" t="s">
        <v>50</v>
      </c>
      <c r="E4" s="5"/>
      <c r="F4" s="5"/>
      <c r="G4" s="5"/>
      <c r="H4" s="5"/>
    </row>
    <row r="5" spans="1:12" ht="18" x14ac:dyDescent="0.25">
      <c r="D5" s="5" t="s">
        <v>51</v>
      </c>
      <c r="E5" s="5"/>
      <c r="F5" s="5"/>
      <c r="G5" s="5"/>
      <c r="H5" s="5"/>
    </row>
    <row r="6" spans="1:12" ht="18" x14ac:dyDescent="0.25">
      <c r="D6" s="5" t="s">
        <v>117</v>
      </c>
      <c r="E6" s="5"/>
      <c r="F6" s="5"/>
      <c r="G6" s="5"/>
      <c r="H6" s="5"/>
    </row>
    <row r="7" spans="1:12" ht="11.25" customHeight="1" thickBot="1" x14ac:dyDescent="0.3">
      <c r="D7" s="3"/>
      <c r="E7" s="3"/>
      <c r="F7" s="3"/>
      <c r="G7" s="3"/>
      <c r="H7" s="3"/>
    </row>
    <row r="8" spans="1:12" ht="15.75" customHeight="1" thickTop="1" x14ac:dyDescent="0.25">
      <c r="A8" s="135" t="s">
        <v>0</v>
      </c>
      <c r="B8" s="137" t="s">
        <v>82</v>
      </c>
      <c r="C8" s="137" t="s">
        <v>1</v>
      </c>
      <c r="D8" s="135" t="s">
        <v>0</v>
      </c>
      <c r="E8" s="137" t="s">
        <v>82</v>
      </c>
      <c r="F8" s="137" t="s">
        <v>1</v>
      </c>
      <c r="G8" s="143" t="s">
        <v>41</v>
      </c>
      <c r="H8" s="141" t="s">
        <v>89</v>
      </c>
      <c r="I8" s="141" t="s">
        <v>1</v>
      </c>
      <c r="J8" s="143" t="s">
        <v>41</v>
      </c>
      <c r="K8" s="141" t="s">
        <v>82</v>
      </c>
      <c r="L8" s="139" t="s">
        <v>1</v>
      </c>
    </row>
    <row r="9" spans="1:12" ht="12" customHeight="1" thickBot="1" x14ac:dyDescent="0.3">
      <c r="A9" s="136"/>
      <c r="B9" s="138"/>
      <c r="C9" s="138"/>
      <c r="D9" s="136"/>
      <c r="E9" s="138"/>
      <c r="F9" s="138"/>
      <c r="G9" s="144"/>
      <c r="H9" s="142"/>
      <c r="I9" s="142"/>
      <c r="J9" s="144"/>
      <c r="K9" s="142"/>
      <c r="L9" s="140"/>
    </row>
    <row r="10" spans="1:12" ht="16.5" thickTop="1" thickBot="1" x14ac:dyDescent="0.3">
      <c r="A10" s="124" t="s">
        <v>2</v>
      </c>
      <c r="B10" s="125"/>
      <c r="C10" s="125"/>
      <c r="D10" s="121" t="s">
        <v>9</v>
      </c>
      <c r="E10" s="122"/>
      <c r="F10" s="123"/>
      <c r="G10" s="126" t="s">
        <v>42</v>
      </c>
      <c r="H10" s="127"/>
      <c r="I10" s="128"/>
      <c r="J10" s="115" t="s">
        <v>81</v>
      </c>
      <c r="K10" s="116"/>
      <c r="L10" s="117"/>
    </row>
    <row r="11" spans="1:12" ht="15.75" thickTop="1" x14ac:dyDescent="0.25">
      <c r="A11" s="28" t="s">
        <v>3</v>
      </c>
      <c r="B11" s="29">
        <f>SUM((1.28/1000)*C11)</f>
        <v>62.336000000000006</v>
      </c>
      <c r="C11" s="30">
        <v>48700</v>
      </c>
      <c r="D11" s="31" t="s">
        <v>10</v>
      </c>
      <c r="E11" s="68">
        <f>SUM((4.62/1000)*F11)</f>
        <v>201.89400000000001</v>
      </c>
      <c r="F11" s="26">
        <v>43700</v>
      </c>
      <c r="G11" s="35">
        <v>0.5</v>
      </c>
      <c r="H11" s="101">
        <f>SUM(0.013*I11)</f>
        <v>682.5</v>
      </c>
      <c r="I11" s="73">
        <v>52500</v>
      </c>
      <c r="J11" s="15">
        <v>6</v>
      </c>
      <c r="K11" s="74">
        <f>SUM((0.222/1000)*L11)</f>
        <v>9.99</v>
      </c>
      <c r="L11" s="75">
        <v>45000</v>
      </c>
    </row>
    <row r="12" spans="1:12" x14ac:dyDescent="0.25">
      <c r="A12" s="32" t="s">
        <v>4</v>
      </c>
      <c r="B12" s="100">
        <f>SUM((1.66/1000)*C12)</f>
        <v>79.182000000000002</v>
      </c>
      <c r="C12" s="27">
        <v>47700</v>
      </c>
      <c r="D12" s="33" t="s">
        <v>11</v>
      </c>
      <c r="E12" s="98">
        <f>SUM((6.26/1000)*F12)</f>
        <v>273.56200000000001</v>
      </c>
      <c r="F12" s="26">
        <v>43700</v>
      </c>
      <c r="G12" s="23">
        <v>1</v>
      </c>
      <c r="H12" s="104">
        <f>SUM(0.025*I12)</f>
        <v>1295</v>
      </c>
      <c r="I12" s="77">
        <v>51800</v>
      </c>
      <c r="J12" s="16">
        <v>8</v>
      </c>
      <c r="K12" s="74">
        <f>SUM((0.4/1000)*L12)</f>
        <v>17.2</v>
      </c>
      <c r="L12" s="76">
        <v>43000</v>
      </c>
    </row>
    <row r="13" spans="1:12" x14ac:dyDescent="0.25">
      <c r="A13" s="32" t="s">
        <v>5</v>
      </c>
      <c r="B13" s="100">
        <f>SUM((2.39/1000)*C13)</f>
        <v>109.22300000000001</v>
      </c>
      <c r="C13" s="27">
        <v>45700</v>
      </c>
      <c r="D13" s="33" t="s">
        <v>12</v>
      </c>
      <c r="E13" s="98">
        <f>SUM((7.38/1000)*F13)</f>
        <v>322.50600000000003</v>
      </c>
      <c r="F13" s="26">
        <v>43700</v>
      </c>
      <c r="G13" s="23">
        <v>1.5</v>
      </c>
      <c r="H13" s="104">
        <f>SUM(0.037*I13)</f>
        <v>1879.6</v>
      </c>
      <c r="I13" s="77">
        <v>50800</v>
      </c>
      <c r="J13" s="16">
        <v>10</v>
      </c>
      <c r="K13" s="74">
        <f>SUM((0.62/1000)*L13)</f>
        <v>26.04</v>
      </c>
      <c r="L13" s="76">
        <v>42000</v>
      </c>
    </row>
    <row r="14" spans="1:12" x14ac:dyDescent="0.25">
      <c r="A14" s="32" t="s">
        <v>6</v>
      </c>
      <c r="B14" s="100">
        <f>SUM((3.09/1000)*C14)</f>
        <v>140.595</v>
      </c>
      <c r="C14" s="27">
        <v>45500</v>
      </c>
      <c r="D14" s="33" t="s">
        <v>13</v>
      </c>
      <c r="E14" s="98">
        <f>SUM((9.02/1000)*F14)</f>
        <v>394.17400000000004</v>
      </c>
      <c r="F14" s="26">
        <v>43700</v>
      </c>
      <c r="G14" s="23">
        <v>2</v>
      </c>
      <c r="H14" s="104">
        <f>SUM(0.05*I14)</f>
        <v>2525</v>
      </c>
      <c r="I14" s="77">
        <v>50500</v>
      </c>
      <c r="J14" s="16">
        <v>12</v>
      </c>
      <c r="K14" s="74">
        <f>SUM((0.9/1000)*L14)</f>
        <v>36</v>
      </c>
      <c r="L14" s="76">
        <v>40000</v>
      </c>
    </row>
    <row r="15" spans="1:12" ht="15.75" thickBot="1" x14ac:dyDescent="0.3">
      <c r="A15" s="32" t="s">
        <v>7</v>
      </c>
      <c r="B15" s="100">
        <f>SUM((3.84/1000)*C15)</f>
        <v>172.79999999999998</v>
      </c>
      <c r="C15" s="27">
        <v>45000</v>
      </c>
      <c r="D15" s="33" t="s">
        <v>14</v>
      </c>
      <c r="E15" s="98">
        <f>SUM((10.26/1000)*F15)</f>
        <v>441.18</v>
      </c>
      <c r="F15" s="26">
        <v>43000</v>
      </c>
      <c r="G15" s="40">
        <v>3</v>
      </c>
      <c r="H15" s="102">
        <f>SUM(0.075*I15)</f>
        <v>3787.5</v>
      </c>
      <c r="I15" s="103">
        <v>50500</v>
      </c>
      <c r="J15" s="16">
        <v>14</v>
      </c>
      <c r="K15" s="74">
        <f>SUM((1.21/1000)*L15)</f>
        <v>46.826999999999998</v>
      </c>
      <c r="L15" s="76">
        <v>38700</v>
      </c>
    </row>
    <row r="16" spans="1:12" ht="16.5" thickTop="1" thickBot="1" x14ac:dyDescent="0.3">
      <c r="A16" s="34" t="s">
        <v>8</v>
      </c>
      <c r="B16" s="99">
        <f>SUM((4.88/1000)*C16)</f>
        <v>219.6</v>
      </c>
      <c r="C16" s="27">
        <v>45000</v>
      </c>
      <c r="D16" s="33" t="s">
        <v>15</v>
      </c>
      <c r="E16" s="98">
        <f>SUM((12.15/1000)*F16)</f>
        <v>522.45000000000005</v>
      </c>
      <c r="F16" s="26">
        <v>43000</v>
      </c>
      <c r="G16" s="112" t="s">
        <v>102</v>
      </c>
      <c r="H16" s="112" t="s">
        <v>103</v>
      </c>
      <c r="I16" s="112" t="s">
        <v>104</v>
      </c>
      <c r="J16" s="23">
        <v>16</v>
      </c>
      <c r="K16" s="65">
        <f>SUM((1.6/1000)*L16)</f>
        <v>61.92</v>
      </c>
      <c r="L16" s="76">
        <v>38700</v>
      </c>
    </row>
    <row r="17" spans="1:12" ht="16.5" thickTop="1" thickBot="1" x14ac:dyDescent="0.3">
      <c r="A17" s="124" t="s">
        <v>45</v>
      </c>
      <c r="B17" s="125"/>
      <c r="C17" s="125"/>
      <c r="D17" s="33" t="s">
        <v>16</v>
      </c>
      <c r="E17" s="98">
        <f>SUM((14.26/1000)*F17)</f>
        <v>613.17999999999995</v>
      </c>
      <c r="F17" s="26">
        <v>43000</v>
      </c>
      <c r="G17" s="41">
        <v>2</v>
      </c>
      <c r="H17" s="76">
        <v>48000</v>
      </c>
      <c r="I17" s="76">
        <v>50200</v>
      </c>
      <c r="J17" s="23">
        <v>18</v>
      </c>
      <c r="K17" s="65">
        <f>SUM((2/1000)*L17)</f>
        <v>77.400000000000006</v>
      </c>
      <c r="L17" s="76">
        <v>38700</v>
      </c>
    </row>
    <row r="18" spans="1:12" ht="16.5" thickTop="1" thickBot="1" x14ac:dyDescent="0.3">
      <c r="A18" s="28" t="s">
        <v>3</v>
      </c>
      <c r="B18" s="66">
        <f>SUM((1.32/1000)*C18)</f>
        <v>89.76</v>
      </c>
      <c r="C18" s="30">
        <v>68000</v>
      </c>
      <c r="D18" s="42" t="s">
        <v>17</v>
      </c>
      <c r="E18" s="98">
        <f>SUM((17.15/1000)*F18)</f>
        <v>749.45499999999993</v>
      </c>
      <c r="F18" s="26">
        <v>43700</v>
      </c>
      <c r="G18" s="23">
        <v>3</v>
      </c>
      <c r="H18" s="76">
        <v>48500</v>
      </c>
      <c r="I18" s="76">
        <v>49700</v>
      </c>
      <c r="J18" s="40">
        <v>20</v>
      </c>
      <c r="K18" s="65">
        <f>SUM((2.47/1000)*L18)</f>
        <v>95.589000000000013</v>
      </c>
      <c r="L18" s="76">
        <v>38700</v>
      </c>
    </row>
    <row r="19" spans="1:12" ht="16.5" thickTop="1" thickBot="1" x14ac:dyDescent="0.3">
      <c r="A19" s="32" t="s">
        <v>4</v>
      </c>
      <c r="B19" s="95">
        <f>SUM((1.71/1000)*C19)</f>
        <v>116.28</v>
      </c>
      <c r="C19" s="27">
        <v>68000</v>
      </c>
      <c r="D19" s="42" t="s">
        <v>83</v>
      </c>
      <c r="E19" s="98">
        <f>SUM((31.52/1000)*F19)</f>
        <v>1591.76</v>
      </c>
      <c r="F19" s="26">
        <v>50500</v>
      </c>
      <c r="G19" s="23">
        <v>4</v>
      </c>
      <c r="H19" s="76">
        <v>47300</v>
      </c>
      <c r="I19" s="39">
        <v>49600</v>
      </c>
      <c r="J19" s="126" t="s">
        <v>64</v>
      </c>
      <c r="K19" s="127"/>
      <c r="L19" s="128"/>
    </row>
    <row r="20" spans="1:12" ht="16.5" thickTop="1" thickBot="1" x14ac:dyDescent="0.3">
      <c r="A20" s="32" t="s">
        <v>5</v>
      </c>
      <c r="B20" s="95">
        <f>SUM((2.46/1000)*C20)</f>
        <v>172.93799999999999</v>
      </c>
      <c r="C20" s="27">
        <v>70300</v>
      </c>
      <c r="D20" s="43" t="s">
        <v>84</v>
      </c>
      <c r="E20" s="97">
        <f>SUM((39.51/1000)*F20)</f>
        <v>2358.7469999999998</v>
      </c>
      <c r="F20" s="96">
        <v>59700</v>
      </c>
      <c r="G20" s="23">
        <v>5</v>
      </c>
      <c r="H20" s="76">
        <v>47200</v>
      </c>
      <c r="I20" s="39">
        <v>49500</v>
      </c>
      <c r="J20" s="35">
        <v>6.5</v>
      </c>
      <c r="K20" s="72">
        <f>SUM((5.92/1000)*L20)</f>
        <v>297.77600000000001</v>
      </c>
      <c r="L20" s="48">
        <v>50300</v>
      </c>
    </row>
    <row r="21" spans="1:12" ht="15.75" thickTop="1" x14ac:dyDescent="0.25">
      <c r="A21" s="32" t="s">
        <v>6</v>
      </c>
      <c r="B21" s="95">
        <f>SUM((3.18/1000)*C21)</f>
        <v>215.286</v>
      </c>
      <c r="C21" s="27">
        <v>67700</v>
      </c>
      <c r="D21" s="43">
        <v>325</v>
      </c>
      <c r="E21" s="131">
        <v>58000</v>
      </c>
      <c r="F21" s="132"/>
      <c r="G21" s="44" t="s">
        <v>90</v>
      </c>
      <c r="H21" s="76">
        <v>47200</v>
      </c>
      <c r="I21" s="39">
        <v>49500</v>
      </c>
      <c r="J21" s="23">
        <v>8</v>
      </c>
      <c r="K21" s="65">
        <f>SUM((7.05/1000)*L21)</f>
        <v>358.14</v>
      </c>
      <c r="L21" s="48">
        <v>50800</v>
      </c>
    </row>
    <row r="22" spans="1:12" x14ac:dyDescent="0.25">
      <c r="A22" s="32" t="s">
        <v>7</v>
      </c>
      <c r="B22" s="95">
        <f>SUM((3.96/1000)*C22)</f>
        <v>268.09199999999998</v>
      </c>
      <c r="C22" s="27">
        <v>67700</v>
      </c>
      <c r="D22" s="43">
        <v>426</v>
      </c>
      <c r="E22" s="131">
        <v>58000</v>
      </c>
      <c r="F22" s="132"/>
      <c r="G22" s="44" t="s">
        <v>91</v>
      </c>
      <c r="H22" s="76">
        <v>47200</v>
      </c>
      <c r="I22" s="39">
        <v>49400</v>
      </c>
      <c r="J22" s="23">
        <v>10</v>
      </c>
      <c r="K22" s="65">
        <f>SUM((8.75/1000)*L22)</f>
        <v>467.25000000000006</v>
      </c>
      <c r="L22" s="38">
        <v>53400</v>
      </c>
    </row>
    <row r="23" spans="1:12" ht="15.75" thickBot="1" x14ac:dyDescent="0.3">
      <c r="A23" s="34" t="s">
        <v>8</v>
      </c>
      <c r="B23" s="94">
        <f>SUM((5.03/1000)*C23)</f>
        <v>340.53100000000006</v>
      </c>
      <c r="C23" s="47">
        <v>67700</v>
      </c>
      <c r="D23" s="43">
        <v>530</v>
      </c>
      <c r="E23" s="131">
        <v>62000</v>
      </c>
      <c r="F23" s="132"/>
      <c r="G23" s="23">
        <v>10</v>
      </c>
      <c r="H23" s="76">
        <v>47200</v>
      </c>
      <c r="I23" s="39">
        <v>49400</v>
      </c>
      <c r="J23" s="49">
        <v>12</v>
      </c>
      <c r="K23" s="65">
        <f>SUM((10.57/1000)*L23)</f>
        <v>595.09100000000001</v>
      </c>
      <c r="L23" s="38">
        <v>56300</v>
      </c>
    </row>
    <row r="24" spans="1:12" ht="16.5" thickTop="1" thickBot="1" x14ac:dyDescent="0.3">
      <c r="A24" s="121" t="s">
        <v>46</v>
      </c>
      <c r="B24" s="129"/>
      <c r="C24" s="130"/>
      <c r="D24" s="45">
        <v>630</v>
      </c>
      <c r="E24" s="131">
        <v>70000</v>
      </c>
      <c r="F24" s="132"/>
      <c r="G24" s="106">
        <v>12</v>
      </c>
      <c r="H24" s="76">
        <v>47200</v>
      </c>
      <c r="I24" s="39">
        <v>49400</v>
      </c>
      <c r="J24" s="50">
        <v>14</v>
      </c>
      <c r="K24" s="65">
        <f>SUM((12.39/1000)*L24)</f>
        <v>732.24900000000002</v>
      </c>
      <c r="L24" s="38">
        <v>59100</v>
      </c>
    </row>
    <row r="25" spans="1:12" ht="16.5" thickTop="1" thickBot="1" x14ac:dyDescent="0.3">
      <c r="A25" s="80" t="s">
        <v>10</v>
      </c>
      <c r="B25" s="81">
        <f>SUM((4.76/1000)*C25)</f>
        <v>315.58799999999997</v>
      </c>
      <c r="C25" s="82">
        <v>66300</v>
      </c>
      <c r="D25" s="46">
        <v>720</v>
      </c>
      <c r="E25" s="133">
        <v>70000</v>
      </c>
      <c r="F25" s="134"/>
      <c r="G25" s="23">
        <v>14</v>
      </c>
      <c r="H25" s="76">
        <v>47000</v>
      </c>
      <c r="I25" s="39">
        <v>49400</v>
      </c>
      <c r="J25" s="23">
        <v>16</v>
      </c>
      <c r="K25" s="65">
        <f>SUM((14.17/1000)*L25)</f>
        <v>824.69400000000007</v>
      </c>
      <c r="L25" s="51">
        <v>58200</v>
      </c>
    </row>
    <row r="26" spans="1:12" ht="16.5" thickTop="1" thickBot="1" x14ac:dyDescent="0.3">
      <c r="A26" s="83" t="s">
        <v>11</v>
      </c>
      <c r="B26" s="93">
        <f>SUM((6.45/1000)*C26)</f>
        <v>427.63499999999999</v>
      </c>
      <c r="C26" s="82">
        <v>66300</v>
      </c>
      <c r="D26" s="118" t="s">
        <v>18</v>
      </c>
      <c r="E26" s="119"/>
      <c r="F26" s="120"/>
      <c r="G26" s="23">
        <v>16</v>
      </c>
      <c r="H26" s="76">
        <v>47000</v>
      </c>
      <c r="I26" s="39">
        <v>50000</v>
      </c>
      <c r="J26" s="23">
        <v>18</v>
      </c>
      <c r="K26" s="65">
        <f>SUM((18.87/1000)*L26)</f>
        <v>1132.2</v>
      </c>
      <c r="L26" s="39">
        <v>60000</v>
      </c>
    </row>
    <row r="27" spans="1:12" ht="16.5" thickTop="1" thickBot="1" x14ac:dyDescent="0.3">
      <c r="A27" s="83" t="s">
        <v>12</v>
      </c>
      <c r="B27" s="93">
        <f>SUM((7.6/1000)*C27)</f>
        <v>503.88</v>
      </c>
      <c r="C27" s="82">
        <v>66300</v>
      </c>
      <c r="D27" s="35" t="s">
        <v>29</v>
      </c>
      <c r="E27" s="69">
        <f>SUM((1.075/1000)*F27)</f>
        <v>49.127499999999998</v>
      </c>
      <c r="F27" s="52">
        <v>45700</v>
      </c>
      <c r="G27" s="107">
        <v>20</v>
      </c>
      <c r="H27" s="76">
        <v>49500</v>
      </c>
      <c r="I27" s="39">
        <v>51000</v>
      </c>
      <c r="J27" s="23">
        <v>20</v>
      </c>
      <c r="K27" s="65">
        <f>SUM((21/1000)*L27)</f>
        <v>1232.7</v>
      </c>
      <c r="L27" s="39">
        <v>58700</v>
      </c>
    </row>
    <row r="28" spans="1:12" ht="16.5" thickTop="1" thickBot="1" x14ac:dyDescent="0.3">
      <c r="A28" s="83" t="s">
        <v>13</v>
      </c>
      <c r="B28" s="92">
        <f>SUM((9.29/1000)*C28)</f>
        <v>615.92700000000002</v>
      </c>
      <c r="C28" s="82">
        <v>66300</v>
      </c>
      <c r="D28" s="23" t="s">
        <v>30</v>
      </c>
      <c r="E28" s="89">
        <f>SUM((1.39/1000)*F28)</f>
        <v>63.244999999999997</v>
      </c>
      <c r="F28" s="53">
        <v>45500</v>
      </c>
      <c r="G28" s="159" t="s">
        <v>43</v>
      </c>
      <c r="H28" s="160"/>
      <c r="I28" s="161"/>
      <c r="J28" s="23">
        <v>22</v>
      </c>
      <c r="K28" s="74">
        <f>SUM((24/1000)*L28)</f>
        <v>1984.8</v>
      </c>
      <c r="L28" s="39">
        <v>82700</v>
      </c>
    </row>
    <row r="29" spans="1:12" ht="16.5" thickTop="1" thickBot="1" x14ac:dyDescent="0.3">
      <c r="A29" s="150" t="s">
        <v>80</v>
      </c>
      <c r="B29" s="119"/>
      <c r="C29" s="120"/>
      <c r="D29" s="23" t="s">
        <v>31</v>
      </c>
      <c r="E29" s="89">
        <f>SUM((1.7/1000)*F29)</f>
        <v>75.989999999999995</v>
      </c>
      <c r="F29" s="53">
        <v>44700</v>
      </c>
      <c r="G29" s="16">
        <v>3</v>
      </c>
      <c r="H29" s="19">
        <f>SUM(0.078*I29)</f>
        <v>3790.8</v>
      </c>
      <c r="I29" s="38">
        <v>48600</v>
      </c>
      <c r="J29" s="16">
        <v>24</v>
      </c>
      <c r="K29" s="84">
        <f>SUM((31.8/1000)*L29)</f>
        <v>2194.2000000000003</v>
      </c>
      <c r="L29" s="39">
        <v>69000</v>
      </c>
    </row>
    <row r="30" spans="1:12" ht="16.5" thickTop="1" thickBot="1" x14ac:dyDescent="0.3">
      <c r="A30" s="1">
        <v>57</v>
      </c>
      <c r="B30" s="166">
        <v>82000</v>
      </c>
      <c r="C30" s="167"/>
      <c r="D30" s="23" t="s">
        <v>32</v>
      </c>
      <c r="E30" s="89">
        <f>SUM((1.7/1000)*F30)</f>
        <v>76.5</v>
      </c>
      <c r="F30" s="53">
        <v>45000</v>
      </c>
      <c r="G30" s="16">
        <v>4</v>
      </c>
      <c r="H30" s="19">
        <f>SUM(0.29*I30)</f>
        <v>14035.999999999998</v>
      </c>
      <c r="I30" s="38">
        <v>48400</v>
      </c>
      <c r="J30" s="126" t="s">
        <v>57</v>
      </c>
      <c r="K30" s="127"/>
      <c r="L30" s="128"/>
    </row>
    <row r="31" spans="1:12" ht="16.5" thickTop="1" thickBot="1" x14ac:dyDescent="0.3">
      <c r="A31" s="1">
        <v>76</v>
      </c>
      <c r="B31" s="168">
        <v>79000</v>
      </c>
      <c r="C31" s="169"/>
      <c r="D31" s="23" t="s">
        <v>33</v>
      </c>
      <c r="E31" s="89">
        <f>SUM((1.86/1000)*F31)</f>
        <v>83.7</v>
      </c>
      <c r="F31" s="53">
        <v>45000</v>
      </c>
      <c r="G31" s="16">
        <v>5</v>
      </c>
      <c r="H31" s="19">
        <f>SUM(0.365*I31)</f>
        <v>17666</v>
      </c>
      <c r="I31" s="38">
        <v>48400</v>
      </c>
      <c r="J31" s="15" t="s">
        <v>58</v>
      </c>
      <c r="K31" s="70">
        <f>SUM((1.47/1000)*L31)</f>
        <v>71.001000000000005</v>
      </c>
      <c r="L31" s="39">
        <v>48300</v>
      </c>
    </row>
    <row r="32" spans="1:12" ht="16.5" thickTop="1" thickBot="1" x14ac:dyDescent="0.3">
      <c r="A32" s="1">
        <v>89</v>
      </c>
      <c r="B32" s="166">
        <v>79000</v>
      </c>
      <c r="C32" s="167"/>
      <c r="D32" s="23" t="s">
        <v>34</v>
      </c>
      <c r="E32" s="89">
        <f>SUM((2.33/1000)*F32)</f>
        <v>104.85000000000001</v>
      </c>
      <c r="F32" s="53">
        <v>45000</v>
      </c>
      <c r="G32" s="159" t="s">
        <v>44</v>
      </c>
      <c r="H32" s="160"/>
      <c r="I32" s="161"/>
      <c r="J32" s="23" t="s">
        <v>59</v>
      </c>
      <c r="K32" s="86">
        <f>SUM((1.94/1000)*L32)</f>
        <v>92.149999999999991</v>
      </c>
      <c r="L32" s="39">
        <v>47500</v>
      </c>
    </row>
    <row r="33" spans="1:12" ht="16.5" thickTop="1" thickBot="1" x14ac:dyDescent="0.3">
      <c r="A33" s="1" t="s">
        <v>66</v>
      </c>
      <c r="B33" s="168">
        <v>76000</v>
      </c>
      <c r="C33" s="169"/>
      <c r="D33" s="23" t="s">
        <v>35</v>
      </c>
      <c r="E33" s="89">
        <f>SUM((2.17/1000)*F33)</f>
        <v>97.65</v>
      </c>
      <c r="F33" s="53">
        <v>45000</v>
      </c>
      <c r="G33" s="20" t="s">
        <v>76</v>
      </c>
      <c r="H33" s="162">
        <v>47000</v>
      </c>
      <c r="I33" s="163"/>
      <c r="J33" s="23" t="s">
        <v>60</v>
      </c>
      <c r="K33" s="86">
        <f>SUM((2.13/1000)*L33)</f>
        <v>103.30499999999999</v>
      </c>
      <c r="L33" s="39">
        <v>48500</v>
      </c>
    </row>
    <row r="34" spans="1:12" ht="16.5" thickTop="1" thickBot="1" x14ac:dyDescent="0.3">
      <c r="A34" s="1">
        <v>159</v>
      </c>
      <c r="B34" s="166">
        <v>77000</v>
      </c>
      <c r="C34" s="167"/>
      <c r="D34" s="23" t="s">
        <v>36</v>
      </c>
      <c r="E34" s="89">
        <f>SUM((2.96/1000)*F34)</f>
        <v>141.78399999999999</v>
      </c>
      <c r="F34" s="53">
        <v>47900</v>
      </c>
      <c r="G34" s="21" t="s">
        <v>77</v>
      </c>
      <c r="H34" s="164">
        <v>48000</v>
      </c>
      <c r="I34" s="165"/>
      <c r="J34" s="16" t="s">
        <v>61</v>
      </c>
      <c r="K34" s="86">
        <f>SUM((2.42/1000)*L34)</f>
        <v>113.014</v>
      </c>
      <c r="L34" s="39">
        <v>46700</v>
      </c>
    </row>
    <row r="35" spans="1:12" ht="15.75" thickTop="1" x14ac:dyDescent="0.25">
      <c r="A35" s="1">
        <v>219</v>
      </c>
      <c r="B35" s="168">
        <v>77000</v>
      </c>
      <c r="C35" s="169"/>
      <c r="D35" s="23" t="s">
        <v>37</v>
      </c>
      <c r="E35" s="89">
        <f>SUM((2.65/1000)*F35)</f>
        <v>119.25</v>
      </c>
      <c r="F35" s="53">
        <v>45000</v>
      </c>
      <c r="G35" s="151" t="s">
        <v>47</v>
      </c>
      <c r="H35" s="152"/>
      <c r="I35" s="153"/>
      <c r="J35" s="16" t="s">
        <v>62</v>
      </c>
      <c r="K35" s="86">
        <f>SUM((3.77/1000)*L35)</f>
        <v>171.91200000000001</v>
      </c>
      <c r="L35" s="39">
        <v>45600</v>
      </c>
    </row>
    <row r="36" spans="1:12" x14ac:dyDescent="0.25">
      <c r="A36" s="1">
        <v>273</v>
      </c>
      <c r="B36" s="168">
        <v>77000</v>
      </c>
      <c r="C36" s="169"/>
      <c r="D36" s="23" t="s">
        <v>85</v>
      </c>
      <c r="E36" s="89">
        <f>SUM((2.96/1000)*F36)</f>
        <v>133.19999999999999</v>
      </c>
      <c r="F36" s="53">
        <v>45000</v>
      </c>
      <c r="G36" s="16">
        <v>0.55000000000000004</v>
      </c>
      <c r="H36" s="22">
        <f>SUM(0.013*I36)</f>
        <v>806</v>
      </c>
      <c r="I36" s="78">
        <v>62000</v>
      </c>
      <c r="J36" s="23" t="s">
        <v>92</v>
      </c>
      <c r="K36" s="87">
        <f>SUM((4.81/1000)*L36)</f>
        <v>214.52600000000001</v>
      </c>
      <c r="L36" s="39">
        <v>44600</v>
      </c>
    </row>
    <row r="37" spans="1:12" ht="15.75" thickBot="1" x14ac:dyDescent="0.3">
      <c r="A37" s="2">
        <v>325</v>
      </c>
      <c r="B37" s="170">
        <v>77000</v>
      </c>
      <c r="C37" s="171"/>
      <c r="D37" s="23" t="s">
        <v>86</v>
      </c>
      <c r="E37" s="89">
        <f>SUM((3.59/1000)*F37)</f>
        <v>161.54999999999998</v>
      </c>
      <c r="F37" s="53">
        <v>45000</v>
      </c>
      <c r="G37" s="18">
        <v>0.7</v>
      </c>
      <c r="H37" s="22">
        <f>SUM(0.018*I37)</f>
        <v>1116</v>
      </c>
      <c r="I37" s="78">
        <v>62000</v>
      </c>
      <c r="J37" s="23" t="s">
        <v>93</v>
      </c>
      <c r="K37" s="87">
        <f>SUM((5.8/1000)*L37)</f>
        <v>269.7</v>
      </c>
      <c r="L37" s="39">
        <v>46500</v>
      </c>
    </row>
    <row r="38" spans="1:12" ht="16.5" thickTop="1" thickBot="1" x14ac:dyDescent="0.3">
      <c r="A38" s="118" t="s">
        <v>18</v>
      </c>
      <c r="B38" s="119"/>
      <c r="C38" s="120"/>
      <c r="D38" s="23" t="s">
        <v>87</v>
      </c>
      <c r="E38" s="89">
        <f>SUM((3.59/1000)*F38)</f>
        <v>161.54999999999998</v>
      </c>
      <c r="F38" s="53">
        <v>45000</v>
      </c>
      <c r="G38" s="126" t="s">
        <v>48</v>
      </c>
      <c r="H38" s="127"/>
      <c r="I38" s="128"/>
      <c r="J38" s="16" t="s">
        <v>94</v>
      </c>
      <c r="K38" s="86">
        <f>SUM((8.6/1000)*L38)</f>
        <v>399.9</v>
      </c>
      <c r="L38" s="39">
        <v>46500</v>
      </c>
    </row>
    <row r="39" spans="1:12" ht="15.75" thickTop="1" x14ac:dyDescent="0.25">
      <c r="A39" s="15" t="s">
        <v>19</v>
      </c>
      <c r="B39" s="67">
        <f>SUM((0.605/1000)*C39)</f>
        <v>32.669999999999995</v>
      </c>
      <c r="C39" s="54">
        <v>54000</v>
      </c>
      <c r="D39" s="23" t="s">
        <v>71</v>
      </c>
      <c r="E39" s="89">
        <f>SUM((4.84/1000)*F39)</f>
        <v>227.48</v>
      </c>
      <c r="F39" s="53">
        <v>47000</v>
      </c>
      <c r="G39" s="15" t="s">
        <v>63</v>
      </c>
      <c r="H39" s="70">
        <f>SUM((0.63/1000)*I39)</f>
        <v>29.484000000000002</v>
      </c>
      <c r="I39" s="36">
        <v>46800</v>
      </c>
      <c r="J39" s="23" t="s">
        <v>95</v>
      </c>
      <c r="K39" s="87">
        <f>SUM((8.33/1000)*L39)</f>
        <v>387.34500000000003</v>
      </c>
      <c r="L39" s="39">
        <v>46500</v>
      </c>
    </row>
    <row r="40" spans="1:12" x14ac:dyDescent="0.25">
      <c r="A40" s="16" t="s">
        <v>20</v>
      </c>
      <c r="B40" s="91">
        <f>SUM((0.841/1000)*C40)</f>
        <v>41.208999999999996</v>
      </c>
      <c r="C40" s="55">
        <v>49000</v>
      </c>
      <c r="D40" s="23" t="s">
        <v>38</v>
      </c>
      <c r="E40" s="89">
        <f>SUM((7.13/1000)*F40)</f>
        <v>306.58999999999997</v>
      </c>
      <c r="F40" s="53">
        <v>43000</v>
      </c>
      <c r="G40" s="16" t="s">
        <v>58</v>
      </c>
      <c r="H40" s="86">
        <f>SUM((0.8/1000)*I40)</f>
        <v>37.04</v>
      </c>
      <c r="I40" s="39">
        <v>46300</v>
      </c>
      <c r="J40" s="23" t="s">
        <v>96</v>
      </c>
      <c r="K40" s="87">
        <f>SUM((15.46/1000)*L40)</f>
        <v>703.43000000000006</v>
      </c>
      <c r="L40" s="39">
        <v>45500</v>
      </c>
    </row>
    <row r="41" spans="1:12" ht="15.75" thickBot="1" x14ac:dyDescent="0.3">
      <c r="A41" s="16" t="s">
        <v>21</v>
      </c>
      <c r="B41" s="91">
        <f>SUM((1.07/1000)*C41)</f>
        <v>52.536999999999999</v>
      </c>
      <c r="C41" s="55">
        <v>49100</v>
      </c>
      <c r="D41" s="23" t="s">
        <v>39</v>
      </c>
      <c r="E41" s="89">
        <f>SUM((9.33/1000)*F41)</f>
        <v>398.39099999999996</v>
      </c>
      <c r="F41" s="53">
        <v>42700</v>
      </c>
      <c r="G41" s="16" t="s">
        <v>61</v>
      </c>
      <c r="H41" s="86">
        <f>SUM((1.3/1000)*I41)</f>
        <v>60.19</v>
      </c>
      <c r="I41" s="39">
        <v>46300</v>
      </c>
      <c r="J41" s="57" t="s">
        <v>97</v>
      </c>
      <c r="K41" s="85">
        <f>SUM((10.79/1000)*L41)</f>
        <v>490.94499999999999</v>
      </c>
      <c r="L41" s="39">
        <v>45500</v>
      </c>
    </row>
    <row r="42" spans="1:12" ht="16.5" thickTop="1" thickBot="1" x14ac:dyDescent="0.3">
      <c r="A42" s="16" t="s">
        <v>22</v>
      </c>
      <c r="B42" s="91">
        <f>SUM((1.05/1000)*C42)</f>
        <v>51.975000000000009</v>
      </c>
      <c r="C42" s="55">
        <v>49500</v>
      </c>
      <c r="D42" s="23" t="s">
        <v>88</v>
      </c>
      <c r="E42" s="89">
        <f>SUM((6.66/1000)*F42)</f>
        <v>291.04200000000003</v>
      </c>
      <c r="F42" s="53">
        <v>43700</v>
      </c>
      <c r="G42" s="18" t="s">
        <v>62</v>
      </c>
      <c r="H42" s="105">
        <f>SUM((1.26/1000)*I42)</f>
        <v>56.7</v>
      </c>
      <c r="I42" s="58">
        <v>45000</v>
      </c>
      <c r="J42" s="126" t="s">
        <v>65</v>
      </c>
      <c r="K42" s="127"/>
      <c r="L42" s="128"/>
    </row>
    <row r="43" spans="1:12" ht="16.5" thickTop="1" thickBot="1" x14ac:dyDescent="0.3">
      <c r="A43" s="16" t="s">
        <v>28</v>
      </c>
      <c r="B43" s="91">
        <f>SUM((1.31/1000)*C43)</f>
        <v>65.5</v>
      </c>
      <c r="C43" s="55">
        <v>50000</v>
      </c>
      <c r="D43" s="23" t="s">
        <v>40</v>
      </c>
      <c r="E43" s="89">
        <f>SUM((8.96/1000)*F43)</f>
        <v>394.24000000000007</v>
      </c>
      <c r="F43" s="53">
        <v>44000</v>
      </c>
      <c r="G43" s="126" t="s">
        <v>49</v>
      </c>
      <c r="H43" s="127"/>
      <c r="I43" s="128"/>
      <c r="J43" s="15">
        <v>6</v>
      </c>
      <c r="K43" s="108">
        <f>SUM((0.222/1000)*L43)</f>
        <v>9.3239999999999998</v>
      </c>
      <c r="L43" s="63">
        <v>42000</v>
      </c>
    </row>
    <row r="44" spans="1:12" ht="15.75" thickTop="1" x14ac:dyDescent="0.25">
      <c r="A44" s="16" t="s">
        <v>23</v>
      </c>
      <c r="B44" s="91">
        <f>SUM((1.31/1000)*C44)</f>
        <v>62.879999999999995</v>
      </c>
      <c r="C44" s="55">
        <v>48000</v>
      </c>
      <c r="D44" s="23" t="s">
        <v>27</v>
      </c>
      <c r="E44" s="89">
        <f>SUM((11.73/1000)*F44)</f>
        <v>516.12</v>
      </c>
      <c r="F44" s="53">
        <v>44000</v>
      </c>
      <c r="G44" s="15">
        <v>8</v>
      </c>
      <c r="H44" s="71">
        <f>SUM((0.51/1000)*I44)</f>
        <v>27.795000000000002</v>
      </c>
      <c r="I44" s="59">
        <v>54500</v>
      </c>
      <c r="J44" s="60">
        <v>8</v>
      </c>
      <c r="K44" s="110">
        <f>SUM((0.4/1000)*L44)</f>
        <v>16.400000000000002</v>
      </c>
      <c r="L44" s="61">
        <v>41000</v>
      </c>
    </row>
    <row r="45" spans="1:12" x14ac:dyDescent="0.25">
      <c r="A45" s="16" t="s">
        <v>24</v>
      </c>
      <c r="B45" s="91">
        <f>SUM((1.43/1000)*C45)</f>
        <v>69.068999999999988</v>
      </c>
      <c r="C45" s="55">
        <v>48300</v>
      </c>
      <c r="D45" s="23" t="s">
        <v>72</v>
      </c>
      <c r="E45" s="89">
        <f>SUM((14.58/1000)*F45)</f>
        <v>685.26</v>
      </c>
      <c r="F45" s="78">
        <v>47000</v>
      </c>
      <c r="G45" s="17">
        <v>10</v>
      </c>
      <c r="H45" s="74">
        <f>SUM((0.8/1000)*I45)</f>
        <v>36.800000000000004</v>
      </c>
      <c r="I45" s="39">
        <v>46000</v>
      </c>
      <c r="J45" s="60">
        <v>10</v>
      </c>
      <c r="K45" s="110">
        <f>SUM((0.62/1000)*L45)</f>
        <v>25.42</v>
      </c>
      <c r="L45" s="61">
        <v>41000</v>
      </c>
    </row>
    <row r="46" spans="1:12" x14ac:dyDescent="0.25">
      <c r="A46" s="16" t="s">
        <v>25</v>
      </c>
      <c r="B46" s="91">
        <f>SUM((1.78/1000)*C46)</f>
        <v>85.974000000000004</v>
      </c>
      <c r="C46" s="55">
        <v>48300</v>
      </c>
      <c r="D46" s="23" t="s">
        <v>78</v>
      </c>
      <c r="E46" s="89">
        <f>SUM((14.25/1000)*F46)</f>
        <v>649.80000000000007</v>
      </c>
      <c r="F46" s="78">
        <v>45600</v>
      </c>
      <c r="G46" s="16">
        <v>12</v>
      </c>
      <c r="H46" s="74">
        <f>SUM((1.13/1000)*I46)</f>
        <v>48.024999999999999</v>
      </c>
      <c r="I46" s="39">
        <v>42500</v>
      </c>
      <c r="J46" s="50">
        <v>12</v>
      </c>
      <c r="K46" s="110">
        <f>SUM((0.9/1000)*L46)</f>
        <v>36.629999999999995</v>
      </c>
      <c r="L46" s="61">
        <v>40700</v>
      </c>
    </row>
    <row r="47" spans="1:12" ht="15.75" thickBot="1" x14ac:dyDescent="0.3">
      <c r="A47" s="18" t="s">
        <v>26</v>
      </c>
      <c r="B47" s="90">
        <f>SUM((1.67/1000)*C47)</f>
        <v>80.16</v>
      </c>
      <c r="C47" s="56">
        <v>48000</v>
      </c>
      <c r="D47" s="40" t="s">
        <v>79</v>
      </c>
      <c r="E47" s="88">
        <f>SUM((20.69/1000)*F47)</f>
        <v>941.39499999999998</v>
      </c>
      <c r="F47" s="79">
        <v>45500</v>
      </c>
      <c r="G47" s="18" t="s">
        <v>101</v>
      </c>
      <c r="H47" s="84" t="s">
        <v>100</v>
      </c>
      <c r="I47" s="62">
        <v>41200</v>
      </c>
      <c r="J47" s="40">
        <v>14</v>
      </c>
      <c r="K47" s="109">
        <f>SUM((1.21/1000)*L47)</f>
        <v>49.247</v>
      </c>
      <c r="L47" s="61">
        <v>40700</v>
      </c>
    </row>
    <row r="48" spans="1:12" ht="15.75" thickTop="1" x14ac:dyDescent="0.25">
      <c r="A48" s="156" t="s">
        <v>69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8"/>
    </row>
    <row r="49" spans="1:12" x14ac:dyDescent="0.25">
      <c r="A49" s="111">
        <v>10</v>
      </c>
      <c r="B49" s="113">
        <v>57000</v>
      </c>
      <c r="C49" s="114"/>
      <c r="D49" s="64" t="s">
        <v>67</v>
      </c>
      <c r="E49" s="113">
        <v>56600</v>
      </c>
      <c r="F49" s="114"/>
      <c r="G49" s="37" t="s">
        <v>107</v>
      </c>
      <c r="H49" s="113">
        <v>56600</v>
      </c>
      <c r="I49" s="114"/>
      <c r="J49" s="37" t="s">
        <v>112</v>
      </c>
      <c r="K49" s="113">
        <v>56600</v>
      </c>
      <c r="L49" s="114"/>
    </row>
    <row r="50" spans="1:12" x14ac:dyDescent="0.25">
      <c r="A50" s="111">
        <v>12</v>
      </c>
      <c r="B50" s="113">
        <v>60000</v>
      </c>
      <c r="C50" s="114"/>
      <c r="D50" s="64" t="s">
        <v>68</v>
      </c>
      <c r="E50" s="113">
        <v>56600</v>
      </c>
      <c r="F50" s="114"/>
      <c r="G50" s="37" t="s">
        <v>108</v>
      </c>
      <c r="H50" s="113">
        <v>65300</v>
      </c>
      <c r="I50" s="114"/>
      <c r="J50" s="37" t="s">
        <v>113</v>
      </c>
      <c r="K50" s="113">
        <v>56600</v>
      </c>
      <c r="L50" s="114"/>
    </row>
    <row r="51" spans="1:12" x14ac:dyDescent="0.25">
      <c r="A51" s="111">
        <v>14</v>
      </c>
      <c r="B51" s="113">
        <v>64500</v>
      </c>
      <c r="C51" s="114"/>
      <c r="D51" s="64" t="s">
        <v>109</v>
      </c>
      <c r="E51" s="113">
        <v>56600</v>
      </c>
      <c r="F51" s="114"/>
      <c r="G51" s="37" t="s">
        <v>105</v>
      </c>
      <c r="H51" s="113">
        <v>56600</v>
      </c>
      <c r="I51" s="114"/>
      <c r="J51" s="37" t="s">
        <v>114</v>
      </c>
      <c r="K51" s="113">
        <v>56600</v>
      </c>
      <c r="L51" s="114"/>
    </row>
    <row r="52" spans="1:12" x14ac:dyDescent="0.25">
      <c r="A52" s="111">
        <v>16</v>
      </c>
      <c r="B52" s="113">
        <v>64000</v>
      </c>
      <c r="C52" s="114"/>
      <c r="D52" s="64" t="s">
        <v>110</v>
      </c>
      <c r="E52" s="113">
        <v>52200</v>
      </c>
      <c r="F52" s="114"/>
      <c r="G52" s="37" t="s">
        <v>75</v>
      </c>
      <c r="H52" s="113">
        <v>65300</v>
      </c>
      <c r="I52" s="114"/>
      <c r="J52" s="37" t="s">
        <v>74</v>
      </c>
      <c r="K52" s="113">
        <v>65300</v>
      </c>
      <c r="L52" s="114"/>
    </row>
    <row r="53" spans="1:12" x14ac:dyDescent="0.25">
      <c r="A53" s="111">
        <v>20</v>
      </c>
      <c r="B53" s="113">
        <v>55000</v>
      </c>
      <c r="C53" s="114"/>
      <c r="D53" s="64" t="s">
        <v>111</v>
      </c>
      <c r="E53" s="113">
        <v>52200</v>
      </c>
      <c r="F53" s="114"/>
      <c r="G53" s="37" t="s">
        <v>106</v>
      </c>
      <c r="H53" s="113">
        <v>52200</v>
      </c>
      <c r="I53" s="114"/>
      <c r="J53" s="37" t="s">
        <v>115</v>
      </c>
      <c r="K53" s="113">
        <v>56600</v>
      </c>
      <c r="L53" s="114"/>
    </row>
    <row r="54" spans="1:12" ht="15.75" x14ac:dyDescent="0.25">
      <c r="A54" s="4" t="s">
        <v>54</v>
      </c>
      <c r="B54" s="4"/>
      <c r="C54" s="4"/>
      <c r="D54" s="4"/>
      <c r="E54" s="4"/>
      <c r="F54" s="4"/>
      <c r="G54" s="4"/>
      <c r="H54" s="147" t="s">
        <v>70</v>
      </c>
      <c r="I54" s="148"/>
      <c r="J54" s="148"/>
      <c r="K54" s="148"/>
      <c r="L54" s="148"/>
    </row>
    <row r="55" spans="1:12" ht="15.75" x14ac:dyDescent="0.25">
      <c r="A55" s="4" t="s">
        <v>55</v>
      </c>
      <c r="B55" s="4"/>
      <c r="C55" s="4"/>
      <c r="D55" s="4"/>
      <c r="E55" s="4"/>
      <c r="F55" s="4"/>
      <c r="G55" s="4"/>
      <c r="H55" s="149"/>
      <c r="I55" s="149"/>
      <c r="J55" s="149"/>
      <c r="K55" s="149"/>
      <c r="L55" s="149"/>
    </row>
    <row r="56" spans="1:12" ht="17.25" customHeight="1" x14ac:dyDescent="0.25">
      <c r="A56" s="4" t="s">
        <v>56</v>
      </c>
      <c r="B56" s="4"/>
      <c r="C56" s="4"/>
      <c r="D56" s="4"/>
      <c r="E56" s="4"/>
      <c r="F56" s="4"/>
      <c r="G56" s="4"/>
      <c r="H56" s="149"/>
      <c r="I56" s="149"/>
      <c r="J56" s="149"/>
      <c r="K56" s="149"/>
      <c r="L56" s="149"/>
    </row>
    <row r="57" spans="1:12" ht="23.25" customHeight="1" x14ac:dyDescent="0.65">
      <c r="A57" s="25" t="s">
        <v>98</v>
      </c>
      <c r="B57" s="24"/>
      <c r="C57" s="10"/>
      <c r="D57" s="10"/>
      <c r="E57" s="10"/>
      <c r="F57" s="10"/>
      <c r="G57" s="10"/>
      <c r="H57" s="10"/>
      <c r="I57" s="10"/>
      <c r="J57" s="10"/>
    </row>
    <row r="58" spans="1:12" ht="18.75" customHeight="1" x14ac:dyDescent="0.35">
      <c r="A58" s="154" t="s">
        <v>73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</row>
    <row r="59" spans="1:12" ht="39" customHeight="1" x14ac:dyDescent="0.3">
      <c r="A59" s="145" t="s">
        <v>116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</row>
    <row r="60" spans="1:12" s="9" customFormat="1" ht="24.75" x14ac:dyDescent="0.4">
      <c r="B60" s="12"/>
      <c r="D60" s="6"/>
    </row>
  </sheetData>
  <mergeCells count="68">
    <mergeCell ref="H52:I52"/>
    <mergeCell ref="H53:I53"/>
    <mergeCell ref="K50:L50"/>
    <mergeCell ref="K52:L52"/>
    <mergeCell ref="K53:L53"/>
    <mergeCell ref="B52:C52"/>
    <mergeCell ref="B53:C53"/>
    <mergeCell ref="E50:F50"/>
    <mergeCell ref="E52:F52"/>
    <mergeCell ref="E53:F53"/>
    <mergeCell ref="B51:C51"/>
    <mergeCell ref="B34:C34"/>
    <mergeCell ref="B35:C35"/>
    <mergeCell ref="B36:C36"/>
    <mergeCell ref="B37:C37"/>
    <mergeCell ref="B50:C50"/>
    <mergeCell ref="B49:C49"/>
    <mergeCell ref="G28:I28"/>
    <mergeCell ref="B30:C30"/>
    <mergeCell ref="B31:C31"/>
    <mergeCell ref="B32:C32"/>
    <mergeCell ref="B33:C33"/>
    <mergeCell ref="A59:K59"/>
    <mergeCell ref="G43:I43"/>
    <mergeCell ref="H54:L56"/>
    <mergeCell ref="A29:C29"/>
    <mergeCell ref="G35:I35"/>
    <mergeCell ref="A58:K58"/>
    <mergeCell ref="G38:I38"/>
    <mergeCell ref="J42:L42"/>
    <mergeCell ref="A48:L48"/>
    <mergeCell ref="A38:C38"/>
    <mergeCell ref="G32:I32"/>
    <mergeCell ref="H33:I33"/>
    <mergeCell ref="H34:I34"/>
    <mergeCell ref="J30:L30"/>
    <mergeCell ref="E49:F49"/>
    <mergeCell ref="H49:I49"/>
    <mergeCell ref="A8:A9"/>
    <mergeCell ref="B8:B9"/>
    <mergeCell ref="L8:L9"/>
    <mergeCell ref="I8:I9"/>
    <mergeCell ref="J8:J9"/>
    <mergeCell ref="K8:K9"/>
    <mergeCell ref="D8:D9"/>
    <mergeCell ref="E8:E9"/>
    <mergeCell ref="H8:H9"/>
    <mergeCell ref="G8:G9"/>
    <mergeCell ref="F8:F9"/>
    <mergeCell ref="C8:C9"/>
    <mergeCell ref="J10:L10"/>
    <mergeCell ref="D26:F26"/>
    <mergeCell ref="D10:F10"/>
    <mergeCell ref="A10:C10"/>
    <mergeCell ref="J19:L19"/>
    <mergeCell ref="G10:I10"/>
    <mergeCell ref="A24:C24"/>
    <mergeCell ref="A17:C17"/>
    <mergeCell ref="E21:F21"/>
    <mergeCell ref="E22:F22"/>
    <mergeCell ref="E23:F23"/>
    <mergeCell ref="E24:F24"/>
    <mergeCell ref="E25:F25"/>
    <mergeCell ref="K49:L49"/>
    <mergeCell ref="H51:I51"/>
    <mergeCell ref="E51:F51"/>
    <mergeCell ref="K51:L51"/>
    <mergeCell ref="H50:I50"/>
  </mergeCells>
  <phoneticPr fontId="14" type="noConversion"/>
  <pageMargins left="0.27559055118110237" right="0.11811023622047245" top="0.74803149606299213" bottom="0.1968503937007874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Александр Борисов</cp:lastModifiedBy>
  <cp:lastPrinted>2018-04-13T07:57:42Z</cp:lastPrinted>
  <dcterms:created xsi:type="dcterms:W3CDTF">2014-03-12T09:47:46Z</dcterms:created>
  <dcterms:modified xsi:type="dcterms:W3CDTF">2018-05-15T14:06:29Z</dcterms:modified>
</cp:coreProperties>
</file>